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3990" windowHeight="7605" tabRatio="599" activeTab="4"/>
  </bookViews>
  <sheets>
    <sheet name="Sheet3" sheetId="1" r:id="rId1"/>
    <sheet name="YZR" sheetId="2" r:id="rId2"/>
    <sheet name="原始" sheetId="3" r:id="rId3"/>
    <sheet name="Sheet1" sheetId="4" r:id="rId4"/>
    <sheet name="Sheet2" sheetId="5" r:id="rId5"/>
  </sheets>
  <definedNames>
    <definedName name="_xlnm.Print_Area" localSheetId="0">'Sheet3'!$A$1:$E$15</definedName>
  </definedNames>
  <calcPr fullCalcOnLoad="1"/>
</workbook>
</file>

<file path=xl/sharedStrings.xml><?xml version="1.0" encoding="utf-8"?>
<sst xmlns="http://schemas.openxmlformats.org/spreadsheetml/2006/main" count="92" uniqueCount="57">
  <si>
    <t>H</t>
  </si>
  <si>
    <t>h</t>
  </si>
  <si>
    <t>d</t>
  </si>
  <si>
    <t>禁边宽度</t>
  </si>
  <si>
    <t>护面墙工程数量计算</t>
  </si>
  <si>
    <t>已知参数</t>
  </si>
  <si>
    <t>m（外边坡坡度）</t>
  </si>
  <si>
    <t>n（内边坡坡度）</t>
  </si>
  <si>
    <t>顶宽</t>
  </si>
  <si>
    <t>基底坡度</t>
  </si>
  <si>
    <t>基底与水平面夹角</t>
  </si>
  <si>
    <t>外坡度与水平面夹角</t>
  </si>
  <si>
    <t>内坡度与水平面夹角</t>
  </si>
  <si>
    <r>
      <t>第三</t>
    </r>
    <r>
      <rPr>
        <sz val="12"/>
        <rFont val="宋体"/>
        <family val="0"/>
      </rPr>
      <t xml:space="preserve"> 角</t>
    </r>
  </si>
  <si>
    <t>耳墙</t>
  </si>
  <si>
    <t>换填土</t>
  </si>
  <si>
    <t>开挖土方</t>
  </si>
  <si>
    <t>基础埋深</t>
  </si>
  <si>
    <t>弧度</t>
  </si>
  <si>
    <t>角度</t>
  </si>
  <si>
    <t>宽度</t>
  </si>
  <si>
    <t>高度</t>
  </si>
  <si>
    <t>禁边高度</t>
  </si>
  <si>
    <t>开挖土方宽度</t>
  </si>
  <si>
    <t>坡度</t>
  </si>
  <si>
    <t>墙身埋深</t>
  </si>
  <si>
    <t>单级护面墙工程数量表</t>
  </si>
  <si>
    <t>d'</t>
  </si>
  <si>
    <r>
      <t>7.5</t>
    </r>
    <r>
      <rPr>
        <sz val="12"/>
        <rFont val="宋体"/>
        <family val="0"/>
      </rPr>
      <t>号浆砌片石</t>
    </r>
  </si>
  <si>
    <t>开挖土方</t>
  </si>
  <si>
    <t>回填土方</t>
  </si>
  <si>
    <t>换填灰土</t>
  </si>
  <si>
    <r>
      <t>本表格只需输入相应参数（</t>
    </r>
    <r>
      <rPr>
        <sz val="24"/>
        <color indexed="12"/>
        <rFont val="宋体"/>
        <family val="0"/>
      </rPr>
      <t>表中兰色字样参数</t>
    </r>
    <r>
      <rPr>
        <sz val="24"/>
        <color indexed="10"/>
        <rFont val="宋体"/>
        <family val="0"/>
      </rPr>
      <t>）即可计算出各部尺寸及工程量</t>
    </r>
  </si>
  <si>
    <t>内边坡为1：0.65，外边坡为1：0.75</t>
  </si>
  <si>
    <t>耳墙浆砌片石</t>
  </si>
  <si>
    <t>墙高</t>
  </si>
  <si>
    <r>
      <t>S</t>
    </r>
    <r>
      <rPr>
        <vertAlign val="subscript"/>
        <sz val="10"/>
        <rFont val="宋体"/>
        <family val="0"/>
      </rPr>
      <t>ABCF</t>
    </r>
  </si>
  <si>
    <r>
      <t>S</t>
    </r>
    <r>
      <rPr>
        <vertAlign val="subscript"/>
        <sz val="10"/>
        <rFont val="宋体"/>
        <family val="0"/>
      </rPr>
      <t>BEF</t>
    </r>
  </si>
  <si>
    <r>
      <t>S</t>
    </r>
    <r>
      <rPr>
        <vertAlign val="subscript"/>
        <sz val="10"/>
        <rFont val="宋体"/>
        <family val="0"/>
      </rPr>
      <t>DCG</t>
    </r>
  </si>
  <si>
    <r>
      <t>S</t>
    </r>
    <r>
      <rPr>
        <vertAlign val="subscript"/>
        <sz val="10"/>
        <rFont val="宋体"/>
        <family val="0"/>
      </rPr>
      <t>AGEB</t>
    </r>
  </si>
  <si>
    <r>
      <t>S</t>
    </r>
    <r>
      <rPr>
        <vertAlign val="subscript"/>
        <sz val="10"/>
        <rFont val="宋体"/>
        <family val="0"/>
      </rPr>
      <t>顶</t>
    </r>
  </si>
  <si>
    <t>浆砌片石</t>
  </si>
  <si>
    <t>总浆砌片石</t>
  </si>
  <si>
    <t>基础开挖</t>
  </si>
  <si>
    <t>内插墙高</t>
  </si>
  <si>
    <r>
      <t>外边坡（1:</t>
    </r>
    <r>
      <rPr>
        <sz val="10"/>
        <rFont val="Times New Roman"/>
        <family val="1"/>
      </rPr>
      <t>n</t>
    </r>
    <r>
      <rPr>
        <sz val="10"/>
        <rFont val="宋体"/>
        <family val="0"/>
      </rPr>
      <t>）</t>
    </r>
  </si>
  <si>
    <t>内边坡（1：n）</t>
  </si>
  <si>
    <r>
      <t>外边坡（1:</t>
    </r>
    <r>
      <rPr>
        <sz val="10"/>
        <color indexed="12"/>
        <rFont val="Times New Roman"/>
        <family val="1"/>
      </rPr>
      <t>n</t>
    </r>
    <r>
      <rPr>
        <sz val="10"/>
        <color indexed="12"/>
        <rFont val="宋体"/>
        <family val="0"/>
      </rPr>
      <t>）</t>
    </r>
  </si>
  <si>
    <r>
      <t>墙高</t>
    </r>
    <r>
      <rPr>
        <sz val="12"/>
        <rFont val="Times New Roman"/>
        <family val="1"/>
      </rPr>
      <t>H</t>
    </r>
  </si>
  <si>
    <t>底宽B</t>
  </si>
  <si>
    <t>墙高</t>
  </si>
  <si>
    <t>d</t>
  </si>
  <si>
    <t>h</t>
  </si>
  <si>
    <t>浆砌片石</t>
  </si>
  <si>
    <t>总浆砌片石</t>
  </si>
  <si>
    <t>基础开挖</t>
  </si>
  <si>
    <t>护面墙细部尺寸一览表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</si>
</sst>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_);[Red]\(0.0000\)"/>
    <numFmt numFmtId="182" formatCode="0.000000000000_);[Red]\(0.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_);[Red]\(0.000\)"/>
    <numFmt numFmtId="191" formatCode="0.0000000000000_);[Red]\(0.0000000000000\)"/>
    <numFmt numFmtId="192" formatCode="0.000"/>
    <numFmt numFmtId="193" formatCode="0.00_);[Red]\(0.00\)"/>
    <numFmt numFmtId="194" formatCode="0.0_);[Red]\(0.0\)"/>
  </numFmts>
  <fonts count="1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53"/>
      <name val="宋体"/>
      <family val="0"/>
    </font>
    <font>
      <sz val="24"/>
      <color indexed="10"/>
      <name val="宋体"/>
      <family val="0"/>
    </font>
    <font>
      <sz val="12"/>
      <color indexed="52"/>
      <name val="宋体"/>
      <family val="0"/>
    </font>
    <font>
      <sz val="24"/>
      <color indexed="12"/>
      <name val="宋体"/>
      <family val="0"/>
    </font>
    <font>
      <sz val="20"/>
      <color indexed="10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vertAlign val="subscript"/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17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180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90" fontId="10" fillId="0" borderId="0" xfId="0" applyNumberFormat="1" applyFont="1" applyAlignment="1">
      <alignment horizontal="center" vertical="center" wrapText="1"/>
    </xf>
    <xf numFmtId="190" fontId="12" fillId="0" borderId="0" xfId="0" applyNumberFormat="1" applyFont="1" applyAlignment="1">
      <alignment horizontal="center" vertical="center" wrapText="1"/>
    </xf>
    <xf numFmtId="190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9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190" fontId="10" fillId="0" borderId="0" xfId="0" applyNumberFormat="1" applyFont="1" applyFill="1" applyAlignment="1">
      <alignment horizontal="center" vertical="center" wrapText="1"/>
    </xf>
    <xf numFmtId="190" fontId="12" fillId="0" borderId="0" xfId="0" applyNumberFormat="1" applyFont="1" applyFill="1" applyAlignment="1">
      <alignment horizontal="center" vertical="center" wrapText="1"/>
    </xf>
    <xf numFmtId="190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92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190" fontId="16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D3" sqref="D3"/>
    </sheetView>
  </sheetViews>
  <sheetFormatPr defaultColWidth="9.00390625" defaultRowHeight="14.25"/>
  <cols>
    <col min="1" max="16384" width="9.00390625" style="41" customWidth="1"/>
  </cols>
  <sheetData>
    <row r="1" spans="1:14" ht="31.5" customHeight="1" thickBot="1">
      <c r="A1" s="69" t="s">
        <v>56</v>
      </c>
      <c r="B1" s="69"/>
      <c r="C1" s="69"/>
      <c r="D1" s="69"/>
      <c r="E1" s="69"/>
      <c r="F1" s="29"/>
      <c r="G1" s="29"/>
      <c r="I1" s="70" t="s">
        <v>56</v>
      </c>
      <c r="J1" s="70"/>
      <c r="K1" s="70"/>
      <c r="L1" s="70"/>
      <c r="M1" s="70"/>
      <c r="N1" s="70"/>
    </row>
    <row r="2" spans="1:14" ht="34.5" customHeight="1">
      <c r="A2" s="66" t="s">
        <v>50</v>
      </c>
      <c r="B2" s="66" t="s">
        <v>51</v>
      </c>
      <c r="C2" s="66" t="s">
        <v>52</v>
      </c>
      <c r="D2" s="66" t="s">
        <v>41</v>
      </c>
      <c r="E2" s="66" t="s">
        <v>55</v>
      </c>
      <c r="F2" s="29"/>
      <c r="G2" s="29"/>
      <c r="I2" s="43" t="s">
        <v>50</v>
      </c>
      <c r="J2" s="44" t="s">
        <v>51</v>
      </c>
      <c r="K2" s="44" t="s">
        <v>52</v>
      </c>
      <c r="L2" s="44" t="s">
        <v>53</v>
      </c>
      <c r="M2" s="44" t="s">
        <v>54</v>
      </c>
      <c r="N2" s="45" t="s">
        <v>55</v>
      </c>
    </row>
    <row r="3" spans="1:14" ht="19.5" customHeight="1">
      <c r="A3" s="66">
        <v>1</v>
      </c>
      <c r="B3" s="66">
        <v>0.5</v>
      </c>
      <c r="C3" s="66">
        <v>0.1</v>
      </c>
      <c r="D3" s="66">
        <v>0.725</v>
      </c>
      <c r="E3" s="66">
        <v>1.4160000000000001</v>
      </c>
      <c r="F3" s="29"/>
      <c r="G3" s="29"/>
      <c r="I3" s="46">
        <v>1</v>
      </c>
      <c r="J3" s="47">
        <v>0.5</v>
      </c>
      <c r="K3" s="47">
        <v>0.1</v>
      </c>
      <c r="L3" s="47">
        <v>0.725</v>
      </c>
      <c r="M3" s="47"/>
      <c r="N3" s="48">
        <v>1.4160000000000001</v>
      </c>
    </row>
    <row r="4" spans="1:14" ht="19.5" customHeight="1">
      <c r="A4" s="66">
        <v>2</v>
      </c>
      <c r="B4" s="66">
        <v>0.6</v>
      </c>
      <c r="C4" s="66">
        <v>0.12</v>
      </c>
      <c r="D4" s="66">
        <v>1.286</v>
      </c>
      <c r="E4" s="66">
        <v>1.5792000000000002</v>
      </c>
      <c r="F4" s="66"/>
      <c r="G4" s="66"/>
      <c r="I4" s="46">
        <v>2</v>
      </c>
      <c r="J4" s="47">
        <v>0.6</v>
      </c>
      <c r="K4" s="47">
        <v>0.12</v>
      </c>
      <c r="L4" s="47">
        <v>1.286</v>
      </c>
      <c r="M4" s="47"/>
      <c r="N4" s="48">
        <v>1.5792000000000002</v>
      </c>
    </row>
    <row r="5" spans="1:14" ht="19.5" customHeight="1">
      <c r="A5" s="66">
        <v>3</v>
      </c>
      <c r="B5" s="66">
        <v>0.7</v>
      </c>
      <c r="C5" s="66">
        <v>0.14</v>
      </c>
      <c r="D5" s="66">
        <v>1.949</v>
      </c>
      <c r="E5" s="66">
        <v>1.7423999999999993</v>
      </c>
      <c r="F5" s="66"/>
      <c r="G5" s="66"/>
      <c r="I5" s="46">
        <v>3</v>
      </c>
      <c r="J5" s="47">
        <v>0.7</v>
      </c>
      <c r="K5" s="47">
        <v>0.14</v>
      </c>
      <c r="L5" s="47">
        <v>1.949</v>
      </c>
      <c r="M5" s="47"/>
      <c r="N5" s="48">
        <v>1.7423999999999993</v>
      </c>
    </row>
    <row r="6" spans="1:14" ht="19.5" customHeight="1">
      <c r="A6" s="66">
        <v>4</v>
      </c>
      <c r="B6" s="66">
        <v>0.8</v>
      </c>
      <c r="C6" s="66">
        <v>0.16</v>
      </c>
      <c r="D6" s="66">
        <v>2.714</v>
      </c>
      <c r="E6" s="66">
        <v>1.9055999999999997</v>
      </c>
      <c r="F6" s="66"/>
      <c r="G6" s="66"/>
      <c r="I6" s="46">
        <v>4</v>
      </c>
      <c r="J6" s="47">
        <v>0.8</v>
      </c>
      <c r="K6" s="47">
        <v>0.16</v>
      </c>
      <c r="L6" s="47">
        <v>2.714</v>
      </c>
      <c r="M6" s="47">
        <v>2.714</v>
      </c>
      <c r="N6" s="48">
        <v>1.9055999999999997</v>
      </c>
    </row>
    <row r="7" spans="1:14" ht="19.5" customHeight="1">
      <c r="A7" s="66">
        <v>5</v>
      </c>
      <c r="B7" s="66">
        <v>0.9</v>
      </c>
      <c r="C7" s="66">
        <v>0.18</v>
      </c>
      <c r="D7" s="66">
        <v>3.581</v>
      </c>
      <c r="E7" s="66">
        <v>2.0688000000000004</v>
      </c>
      <c r="F7" s="66"/>
      <c r="G7" s="66"/>
      <c r="I7" s="46">
        <v>5</v>
      </c>
      <c r="J7" s="47">
        <v>0.9</v>
      </c>
      <c r="K7" s="47">
        <v>0.18</v>
      </c>
      <c r="L7" s="47">
        <v>3.581</v>
      </c>
      <c r="M7" s="47">
        <v>3.581</v>
      </c>
      <c r="N7" s="48">
        <v>2.0688000000000004</v>
      </c>
    </row>
    <row r="8" spans="1:14" ht="19.5" customHeight="1">
      <c r="A8" s="66">
        <v>6</v>
      </c>
      <c r="B8" s="66">
        <v>1</v>
      </c>
      <c r="C8" s="66">
        <v>0.2</v>
      </c>
      <c r="D8" s="66">
        <v>5.318999999999997</v>
      </c>
      <c r="E8" s="66">
        <v>2.2320000000000007</v>
      </c>
      <c r="F8" s="66"/>
      <c r="G8" s="66"/>
      <c r="I8" s="46">
        <v>6</v>
      </c>
      <c r="J8" s="47">
        <v>1</v>
      </c>
      <c r="K8" s="47">
        <v>0.2</v>
      </c>
      <c r="L8" s="47">
        <v>4.55</v>
      </c>
      <c r="M8" s="47">
        <v>5.318999999999997</v>
      </c>
      <c r="N8" s="48">
        <v>2.2320000000000007</v>
      </c>
    </row>
    <row r="9" spans="1:14" ht="19.5" customHeight="1">
      <c r="A9" s="66">
        <v>7</v>
      </c>
      <c r="B9" s="66">
        <v>1.1</v>
      </c>
      <c r="C9" s="66">
        <v>0.22</v>
      </c>
      <c r="D9" s="66">
        <v>6.39</v>
      </c>
      <c r="E9" s="66">
        <v>2.3952000000000013</v>
      </c>
      <c r="F9" s="66"/>
      <c r="G9" s="66"/>
      <c r="I9" s="46">
        <v>7</v>
      </c>
      <c r="J9" s="47">
        <v>1.1</v>
      </c>
      <c r="K9" s="47">
        <v>0.22</v>
      </c>
      <c r="L9" s="47">
        <v>5.620999999999998</v>
      </c>
      <c r="M9" s="47">
        <v>6.39</v>
      </c>
      <c r="N9" s="48">
        <v>2.3952000000000013</v>
      </c>
    </row>
    <row r="10" spans="1:14" ht="19.5" customHeight="1">
      <c r="A10" s="66">
        <v>8</v>
      </c>
      <c r="B10" s="66">
        <v>1.2</v>
      </c>
      <c r="C10" s="66">
        <v>0.24</v>
      </c>
      <c r="D10" s="66">
        <v>7.563</v>
      </c>
      <c r="E10" s="66">
        <v>2.558399999999999</v>
      </c>
      <c r="F10" s="66"/>
      <c r="G10" s="66"/>
      <c r="I10" s="46">
        <v>8</v>
      </c>
      <c r="J10" s="47">
        <v>1.2</v>
      </c>
      <c r="K10" s="47">
        <v>0.24</v>
      </c>
      <c r="L10" s="47">
        <v>6.794</v>
      </c>
      <c r="M10" s="47">
        <v>7.563</v>
      </c>
      <c r="N10" s="48">
        <v>2.558399999999999</v>
      </c>
    </row>
    <row r="11" spans="1:14" ht="19.5" customHeight="1">
      <c r="A11" s="66">
        <v>9</v>
      </c>
      <c r="B11" s="66">
        <v>1.3</v>
      </c>
      <c r="C11" s="66">
        <v>0.26</v>
      </c>
      <c r="D11" s="66">
        <v>8.838</v>
      </c>
      <c r="E11" s="66">
        <v>2.721600000000001</v>
      </c>
      <c r="F11" s="66"/>
      <c r="G11" s="66"/>
      <c r="I11" s="46">
        <v>9</v>
      </c>
      <c r="J11" s="47">
        <v>1.3</v>
      </c>
      <c r="K11" s="47">
        <v>0.26</v>
      </c>
      <c r="L11" s="47">
        <v>8.068999999999999</v>
      </c>
      <c r="M11" s="47">
        <v>8.838</v>
      </c>
      <c r="N11" s="48">
        <v>2.721600000000001</v>
      </c>
    </row>
    <row r="12" spans="1:14" ht="19.5" customHeight="1">
      <c r="A12" s="66">
        <v>10</v>
      </c>
      <c r="B12" s="66">
        <v>1.4</v>
      </c>
      <c r="C12" s="66">
        <v>0.28</v>
      </c>
      <c r="D12" s="66">
        <v>10.215</v>
      </c>
      <c r="E12" s="66">
        <v>2.8848000000000003</v>
      </c>
      <c r="F12" s="66"/>
      <c r="G12" s="66"/>
      <c r="I12" s="46">
        <v>10</v>
      </c>
      <c r="J12" s="47">
        <v>1.4</v>
      </c>
      <c r="K12" s="47">
        <v>0.28</v>
      </c>
      <c r="L12" s="47">
        <v>9.446000000000003</v>
      </c>
      <c r="M12" s="47">
        <v>10.215</v>
      </c>
      <c r="N12" s="48">
        <v>2.8848000000000003</v>
      </c>
    </row>
    <row r="13" spans="1:14" ht="19.5" customHeight="1">
      <c r="A13" s="67">
        <v>11</v>
      </c>
      <c r="B13" s="67"/>
      <c r="C13" s="67"/>
      <c r="D13" s="67">
        <f>D3+$D$12+0.475</f>
        <v>11.415</v>
      </c>
      <c r="E13" s="67">
        <f>E3+$E$3</f>
        <v>2.8320000000000003</v>
      </c>
      <c r="F13" s="66">
        <f>(1.9+1.9+(A13-10)*0.75)*(A13-10)/2-(A13-10)^2*0.72/2</f>
        <v>1.915</v>
      </c>
      <c r="G13" s="66">
        <f>E13+F13</f>
        <v>4.747</v>
      </c>
      <c r="I13" s="46">
        <v>11</v>
      </c>
      <c r="J13" s="47">
        <v>1.5</v>
      </c>
      <c r="K13" s="47">
        <v>0.3</v>
      </c>
      <c r="L13" s="47">
        <v>10.925</v>
      </c>
      <c r="M13" s="47">
        <v>11.694000000000013</v>
      </c>
      <c r="N13" s="48">
        <v>3.048000000000002</v>
      </c>
    </row>
    <row r="14" spans="1:14" ht="19.5" customHeight="1">
      <c r="A14" s="67">
        <v>12</v>
      </c>
      <c r="B14" s="66"/>
      <c r="C14" s="66"/>
      <c r="D14" s="67">
        <f aca="true" t="shared" si="0" ref="D14:D20">D4+$D$12+0.475</f>
        <v>11.975999999999999</v>
      </c>
      <c r="E14" s="67">
        <f aca="true" t="shared" si="1" ref="E14:E20">E4+$E$3</f>
        <v>2.9952000000000005</v>
      </c>
      <c r="F14" s="66">
        <f aca="true" t="shared" si="2" ref="F14:F20">(1.9+1.9+(A14-10)*0.75)*(A14-10)/2-(A14-10)^2*0.72/2</f>
        <v>3.86</v>
      </c>
      <c r="G14" s="66">
        <f aca="true" t="shared" si="3" ref="G14:G20">E14+F14</f>
        <v>6.8552</v>
      </c>
      <c r="I14" s="46">
        <v>12</v>
      </c>
      <c r="J14" s="47">
        <v>1.6</v>
      </c>
      <c r="K14" s="47">
        <v>0.32</v>
      </c>
      <c r="L14" s="47">
        <v>12.506000000000013</v>
      </c>
      <c r="M14" s="47">
        <v>14.044000000000013</v>
      </c>
      <c r="N14" s="48">
        <v>3.2112</v>
      </c>
    </row>
    <row r="15" spans="1:14" ht="19.5" customHeight="1" thickBot="1">
      <c r="A15" s="67">
        <v>13</v>
      </c>
      <c r="B15" s="66"/>
      <c r="C15" s="66"/>
      <c r="D15" s="67">
        <f t="shared" si="0"/>
        <v>12.639</v>
      </c>
      <c r="E15" s="67">
        <f t="shared" si="1"/>
        <v>3.1583999999999994</v>
      </c>
      <c r="F15" s="66">
        <f t="shared" si="2"/>
        <v>5.834999999999999</v>
      </c>
      <c r="G15" s="66">
        <f t="shared" si="3"/>
        <v>8.993399999999998</v>
      </c>
      <c r="I15" s="49">
        <v>13</v>
      </c>
      <c r="J15" s="50">
        <v>1.7</v>
      </c>
      <c r="K15" s="50">
        <v>0.34</v>
      </c>
      <c r="L15" s="50">
        <v>14.188999999999997</v>
      </c>
      <c r="M15" s="50">
        <v>15.726999999999997</v>
      </c>
      <c r="N15" s="51">
        <v>3.3744</v>
      </c>
    </row>
    <row r="16" spans="1:7" ht="14.25">
      <c r="A16" s="67">
        <v>14</v>
      </c>
      <c r="B16" s="68"/>
      <c r="C16" s="68"/>
      <c r="D16" s="67">
        <f t="shared" si="0"/>
        <v>13.404</v>
      </c>
      <c r="E16" s="67">
        <f t="shared" si="1"/>
        <v>3.3216</v>
      </c>
      <c r="F16" s="66">
        <f t="shared" si="2"/>
        <v>7.84</v>
      </c>
      <c r="G16" s="66">
        <f t="shared" si="3"/>
        <v>11.1616</v>
      </c>
    </row>
    <row r="17" spans="1:7" ht="14.25">
      <c r="A17" s="67">
        <v>15</v>
      </c>
      <c r="B17" s="68"/>
      <c r="C17" s="68"/>
      <c r="D17" s="67">
        <f t="shared" si="0"/>
        <v>14.270999999999999</v>
      </c>
      <c r="E17" s="67">
        <f t="shared" si="1"/>
        <v>3.484800000000001</v>
      </c>
      <c r="F17" s="66">
        <f t="shared" si="2"/>
        <v>9.875</v>
      </c>
      <c r="G17" s="66">
        <f t="shared" si="3"/>
        <v>13.3598</v>
      </c>
    </row>
    <row r="18" spans="1:7" ht="14.25">
      <c r="A18" s="67">
        <v>16</v>
      </c>
      <c r="B18" s="68"/>
      <c r="C18" s="68"/>
      <c r="D18" s="67">
        <f t="shared" si="0"/>
        <v>16.008999999999997</v>
      </c>
      <c r="E18" s="67">
        <f t="shared" si="1"/>
        <v>3.6480000000000006</v>
      </c>
      <c r="F18" s="66">
        <f t="shared" si="2"/>
        <v>11.940000000000003</v>
      </c>
      <c r="G18" s="66">
        <f t="shared" si="3"/>
        <v>15.588000000000005</v>
      </c>
    </row>
    <row r="19" spans="1:7" ht="14.25">
      <c r="A19" s="67">
        <v>17</v>
      </c>
      <c r="B19" s="68"/>
      <c r="C19" s="68"/>
      <c r="D19" s="67">
        <f t="shared" si="0"/>
        <v>17.080000000000002</v>
      </c>
      <c r="E19" s="67">
        <f t="shared" si="1"/>
        <v>3.8112000000000013</v>
      </c>
      <c r="F19" s="66">
        <f t="shared" si="2"/>
        <v>14.035000000000004</v>
      </c>
      <c r="G19" s="66">
        <f t="shared" si="3"/>
        <v>17.846200000000003</v>
      </c>
    </row>
    <row r="20" spans="1:7" ht="14.25">
      <c r="A20" s="67">
        <v>18</v>
      </c>
      <c r="B20" s="68"/>
      <c r="C20" s="68"/>
      <c r="D20" s="67">
        <f t="shared" si="0"/>
        <v>18.253</v>
      </c>
      <c r="E20" s="67">
        <f t="shared" si="1"/>
        <v>3.9743999999999993</v>
      </c>
      <c r="F20" s="66">
        <f t="shared" si="2"/>
        <v>16.160000000000004</v>
      </c>
      <c r="G20" s="66">
        <f t="shared" si="3"/>
        <v>20.134400000000003</v>
      </c>
    </row>
  </sheetData>
  <mergeCells count="2">
    <mergeCell ref="A1:E1"/>
    <mergeCell ref="I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7">
      <selection activeCell="K14" sqref="K14"/>
    </sheetView>
  </sheetViews>
  <sheetFormatPr defaultColWidth="9.00390625" defaultRowHeight="14.25"/>
  <cols>
    <col min="1" max="1" width="7.00390625" style="29" bestFit="1" customWidth="1"/>
    <col min="2" max="2" width="7.75390625" style="29" bestFit="1" customWidth="1"/>
    <col min="3" max="3" width="4.375" style="29" bestFit="1" customWidth="1"/>
    <col min="4" max="4" width="3.75390625" style="29" bestFit="1" customWidth="1"/>
    <col min="5" max="5" width="4.625" style="29" bestFit="1" customWidth="1"/>
    <col min="6" max="7" width="6.375" style="29" bestFit="1" customWidth="1"/>
    <col min="8" max="8" width="4.625" style="29" bestFit="1" customWidth="1"/>
    <col min="9" max="9" width="7.25390625" style="29" bestFit="1" customWidth="1"/>
    <col min="10" max="10" width="4.625" style="29" bestFit="1" customWidth="1"/>
    <col min="11" max="11" width="7.25390625" style="29" bestFit="1" customWidth="1"/>
    <col min="12" max="12" width="5.50390625" style="29" bestFit="1" customWidth="1"/>
    <col min="13" max="13" width="7.625" style="29" bestFit="1" customWidth="1"/>
    <col min="14" max="14" width="4.625" style="29" bestFit="1" customWidth="1"/>
    <col min="15" max="15" width="4.625" style="29" customWidth="1"/>
    <col min="16" max="18" width="7.625" style="29" bestFit="1" customWidth="1"/>
    <col min="19" max="16384" width="9.00390625" style="29" customWidth="1"/>
  </cols>
  <sheetData>
    <row r="1" spans="1:15" ht="15" customHeigh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7"/>
    </row>
    <row r="2" spans="1:18" ht="30" customHeight="1">
      <c r="A2" s="28" t="s">
        <v>47</v>
      </c>
      <c r="B2" s="28" t="s">
        <v>46</v>
      </c>
      <c r="C2" s="28" t="s">
        <v>35</v>
      </c>
      <c r="D2" s="28" t="s">
        <v>2</v>
      </c>
      <c r="E2" s="28" t="s">
        <v>1</v>
      </c>
      <c r="F2" s="29" t="s">
        <v>36</v>
      </c>
      <c r="G2" s="29" t="s">
        <v>37</v>
      </c>
      <c r="H2" s="29" t="s">
        <v>38</v>
      </c>
      <c r="I2" s="29" t="s">
        <v>39</v>
      </c>
      <c r="J2" s="29" t="s">
        <v>40</v>
      </c>
      <c r="K2" s="29" t="s">
        <v>41</v>
      </c>
      <c r="L2" s="29" t="s">
        <v>34</v>
      </c>
      <c r="M2" s="29" t="s">
        <v>42</v>
      </c>
      <c r="N2" s="29" t="s">
        <v>43</v>
      </c>
      <c r="O2" s="37"/>
      <c r="P2" s="29" t="s">
        <v>44</v>
      </c>
      <c r="Q2" s="29" t="s">
        <v>41</v>
      </c>
      <c r="R2" s="29" t="s">
        <v>43</v>
      </c>
    </row>
    <row r="3" spans="1:20" ht="15" customHeight="1">
      <c r="A3" s="29">
        <v>0.75</v>
      </c>
      <c r="B3" s="29">
        <v>0.65</v>
      </c>
      <c r="C3" s="28">
        <v>3</v>
      </c>
      <c r="D3" s="30">
        <f>C3*A3-(C3*B3-0.4)</f>
        <v>0.6999999999999997</v>
      </c>
      <c r="E3" s="30">
        <f>D3/5</f>
        <v>0.13999999999999996</v>
      </c>
      <c r="F3" s="31">
        <f>(0.4+0.4+$A3*(C3+E3))*(C3+E3)/2</f>
        <v>4.95335</v>
      </c>
      <c r="G3" s="31">
        <f>$B3*(C3+E3)^2/2</f>
        <v>3.2043700000000004</v>
      </c>
      <c r="H3" s="32">
        <f>(0.4+$A3*(C3+E3)-$B3*(C3+E3))*E3/2</f>
        <v>0.049979999999999955</v>
      </c>
      <c r="I3" s="33">
        <f>F3-G3-H3</f>
        <v>1.699</v>
      </c>
      <c r="J3" s="29">
        <v>0.25</v>
      </c>
      <c r="K3" s="34">
        <f>I3+J3</f>
        <v>1.949</v>
      </c>
      <c r="L3" s="30">
        <v>0</v>
      </c>
      <c r="M3" s="35">
        <f>K3+L3</f>
        <v>1.949</v>
      </c>
      <c r="N3" s="36">
        <f>((0.4+A3*(C3+E3)-B3*(C3+E3))*2+0.25+0.5)*1.6/2</f>
        <v>1.7423999999999993</v>
      </c>
      <c r="O3" s="38"/>
      <c r="P3" s="30">
        <v>3.5</v>
      </c>
      <c r="Q3" s="31">
        <f>(M4-M3)/1*(P3-C3)+M3</f>
        <v>2.716</v>
      </c>
      <c r="R3" s="31">
        <f>(N4-N3)/1*(P3-C3)+N3</f>
        <v>1.8239999999999994</v>
      </c>
      <c r="S3" s="39"/>
      <c r="T3" s="39"/>
    </row>
    <row r="4" spans="1:20" ht="15" customHeight="1">
      <c r="A4" s="29">
        <v>0.75</v>
      </c>
      <c r="B4" s="29">
        <v>0.65</v>
      </c>
      <c r="C4" s="28">
        <v>4</v>
      </c>
      <c r="D4" s="30">
        <f aca="true" t="shared" si="0" ref="D4:D13">C4*A4-(C4*B4-0.4)</f>
        <v>0.7999999999999998</v>
      </c>
      <c r="E4" s="30">
        <f>D4/5</f>
        <v>0.15999999999999998</v>
      </c>
      <c r="F4" s="31">
        <f aca="true" t="shared" si="1" ref="F4:F13">(0.4+0.4+$A4*(C4+E4))*(C4+E4)/2</f>
        <v>8.1536</v>
      </c>
      <c r="G4" s="31">
        <f aca="true" t="shared" si="2" ref="G4:G13">$B4*(C4+E4)^2/2</f>
        <v>5.624320000000001</v>
      </c>
      <c r="H4" s="32">
        <f aca="true" t="shared" si="3" ref="H4:H13">(0.4+$A4*(C4+E4)-$B4*(C4+E4))*E4/2</f>
        <v>0.06527999999999998</v>
      </c>
      <c r="I4" s="33">
        <f>F4-G4-H4</f>
        <v>2.464</v>
      </c>
      <c r="J4" s="29">
        <v>0.25</v>
      </c>
      <c r="K4" s="34">
        <f>I4+J4</f>
        <v>2.714</v>
      </c>
      <c r="L4" s="30">
        <v>0.769</v>
      </c>
      <c r="M4" s="35">
        <f>K4+L4</f>
        <v>3.483</v>
      </c>
      <c r="N4" s="36">
        <f aca="true" t="shared" si="4" ref="N4:N13">((0.4+A4*(C4+E4)-B4*(C4+E4))*2+0.25+0.5)*1.6/2</f>
        <v>1.9055999999999997</v>
      </c>
      <c r="O4" s="38"/>
      <c r="P4" s="30">
        <v>4.5</v>
      </c>
      <c r="Q4" s="31">
        <f>(M5-M4)/1*(P4-C4)+M4</f>
        <v>3.9165</v>
      </c>
      <c r="R4" s="31">
        <f aca="true" t="shared" si="5" ref="R4:R11">(N5-N4)/1*(P4-C4)+N4</f>
        <v>1.9872</v>
      </c>
      <c r="T4" s="39"/>
    </row>
    <row r="5" spans="1:18" ht="15" customHeight="1">
      <c r="A5" s="29">
        <v>0.75</v>
      </c>
      <c r="B5" s="29">
        <v>0.65</v>
      </c>
      <c r="C5" s="28">
        <v>5</v>
      </c>
      <c r="D5" s="30">
        <f t="shared" si="0"/>
        <v>0.8999999999999999</v>
      </c>
      <c r="E5" s="30">
        <f aca="true" t="shared" si="6" ref="E5:E11">D5/5</f>
        <v>0.18</v>
      </c>
      <c r="F5" s="31">
        <f t="shared" si="1"/>
        <v>12.134149999999998</v>
      </c>
      <c r="G5" s="31">
        <f t="shared" si="2"/>
        <v>8.720529999999998</v>
      </c>
      <c r="H5" s="32">
        <f t="shared" si="3"/>
        <v>0.08262000000000001</v>
      </c>
      <c r="I5" s="33">
        <f aca="true" t="shared" si="7" ref="I5:I15">F5-G5-H5</f>
        <v>3.331</v>
      </c>
      <c r="J5" s="29">
        <v>0.25</v>
      </c>
      <c r="K5" s="34">
        <f aca="true" t="shared" si="8" ref="K5:K15">I5+J5</f>
        <v>3.581</v>
      </c>
      <c r="L5" s="30">
        <v>0.769</v>
      </c>
      <c r="M5" s="35">
        <f aca="true" t="shared" si="9" ref="M5:M15">K5+L5</f>
        <v>4.35</v>
      </c>
      <c r="N5" s="36">
        <f t="shared" si="4"/>
        <v>2.0688000000000004</v>
      </c>
      <c r="O5" s="38"/>
      <c r="P5" s="30">
        <v>5.5</v>
      </c>
      <c r="Q5" s="31">
        <f aca="true" t="shared" si="10" ref="Q5:Q11">(M6-M5)/1*(P5-C5)+M5</f>
        <v>4.8344999999999985</v>
      </c>
      <c r="R5" s="31">
        <f t="shared" si="5"/>
        <v>2.1504000000000003</v>
      </c>
    </row>
    <row r="6" spans="1:20" ht="15" customHeight="1">
      <c r="A6" s="29">
        <v>0.75</v>
      </c>
      <c r="B6" s="29">
        <v>0.65</v>
      </c>
      <c r="C6" s="28">
        <v>6</v>
      </c>
      <c r="D6" s="30">
        <f t="shared" si="0"/>
        <v>0.9999999999999996</v>
      </c>
      <c r="E6" s="30">
        <f t="shared" si="6"/>
        <v>0.1999999999999999</v>
      </c>
      <c r="F6" s="31">
        <f t="shared" si="1"/>
        <v>16.895</v>
      </c>
      <c r="G6" s="31">
        <f t="shared" si="2"/>
        <v>12.493000000000002</v>
      </c>
      <c r="H6" s="32">
        <f t="shared" si="3"/>
        <v>0.102</v>
      </c>
      <c r="I6" s="33">
        <f t="shared" si="7"/>
        <v>4.299999999999997</v>
      </c>
      <c r="J6" s="29">
        <v>0.25</v>
      </c>
      <c r="K6" s="34">
        <f t="shared" si="8"/>
        <v>4.549999999999997</v>
      </c>
      <c r="L6" s="30">
        <v>0.769</v>
      </c>
      <c r="M6" s="35">
        <f t="shared" si="9"/>
        <v>5.318999999999997</v>
      </c>
      <c r="N6" s="36">
        <f t="shared" si="4"/>
        <v>2.2320000000000007</v>
      </c>
      <c r="O6" s="38"/>
      <c r="P6" s="30">
        <v>6.19</v>
      </c>
      <c r="Q6" s="31">
        <f t="shared" si="10"/>
        <v>5.522489999999998</v>
      </c>
      <c r="R6" s="31">
        <f t="shared" si="5"/>
        <v>2.263008000000001</v>
      </c>
      <c r="T6" s="39"/>
    </row>
    <row r="7" spans="1:18" ht="15" customHeight="1">
      <c r="A7" s="29">
        <v>0.75</v>
      </c>
      <c r="B7" s="29">
        <v>0.65</v>
      </c>
      <c r="C7" s="28">
        <v>7</v>
      </c>
      <c r="D7" s="30">
        <f t="shared" si="0"/>
        <v>1.1000000000000005</v>
      </c>
      <c r="E7" s="30">
        <f t="shared" si="6"/>
        <v>0.2200000000000001</v>
      </c>
      <c r="F7" s="31">
        <f t="shared" si="1"/>
        <v>22.436149999999998</v>
      </c>
      <c r="G7" s="31">
        <f t="shared" si="2"/>
        <v>16.94173</v>
      </c>
      <c r="H7" s="32">
        <f t="shared" si="3"/>
        <v>0.12342000000000015</v>
      </c>
      <c r="I7" s="33">
        <f t="shared" si="7"/>
        <v>5.370999999999998</v>
      </c>
      <c r="J7" s="29">
        <v>0.25</v>
      </c>
      <c r="K7" s="34">
        <f t="shared" si="8"/>
        <v>5.620999999999998</v>
      </c>
      <c r="L7" s="30">
        <v>0.769</v>
      </c>
      <c r="M7" s="35">
        <f t="shared" si="9"/>
        <v>6.389999999999998</v>
      </c>
      <c r="N7" s="36">
        <f t="shared" si="4"/>
        <v>2.3952000000000013</v>
      </c>
      <c r="O7" s="38"/>
      <c r="P7" s="30">
        <v>7.14</v>
      </c>
      <c r="Q7" s="31">
        <f t="shared" si="10"/>
        <v>6.554219999999998</v>
      </c>
      <c r="R7" s="31">
        <f t="shared" si="5"/>
        <v>2.418048000000001</v>
      </c>
    </row>
    <row r="8" spans="1:20" ht="15" customHeight="1">
      <c r="A8" s="29">
        <v>0.75</v>
      </c>
      <c r="B8" s="29">
        <v>0.65</v>
      </c>
      <c r="C8" s="28">
        <v>8</v>
      </c>
      <c r="D8" s="30">
        <f t="shared" si="0"/>
        <v>1.2000000000000002</v>
      </c>
      <c r="E8" s="30">
        <f t="shared" si="6"/>
        <v>0.24000000000000005</v>
      </c>
      <c r="F8" s="31">
        <f t="shared" si="1"/>
        <v>28.7576</v>
      </c>
      <c r="G8" s="31">
        <f t="shared" si="2"/>
        <v>22.06672</v>
      </c>
      <c r="H8" s="32">
        <f t="shared" si="3"/>
        <v>0.14687999999999996</v>
      </c>
      <c r="I8" s="33">
        <f t="shared" si="7"/>
        <v>6.544</v>
      </c>
      <c r="J8" s="29">
        <v>0.25</v>
      </c>
      <c r="K8" s="34">
        <f t="shared" si="8"/>
        <v>6.794</v>
      </c>
      <c r="L8" s="30">
        <v>0.769</v>
      </c>
      <c r="M8" s="35">
        <f t="shared" si="9"/>
        <v>7.563</v>
      </c>
      <c r="N8" s="36">
        <f t="shared" si="4"/>
        <v>2.558399999999999</v>
      </c>
      <c r="O8" s="38"/>
      <c r="P8" s="30">
        <v>8.44</v>
      </c>
      <c r="Q8" s="31">
        <f t="shared" si="10"/>
        <v>8.123999999999999</v>
      </c>
      <c r="R8" s="31">
        <f t="shared" si="5"/>
        <v>2.6302079999999997</v>
      </c>
      <c r="T8" s="39"/>
    </row>
    <row r="9" spans="1:18" ht="15" customHeight="1">
      <c r="A9" s="29">
        <v>0.75</v>
      </c>
      <c r="B9" s="29">
        <v>0.65</v>
      </c>
      <c r="C9" s="28">
        <v>9</v>
      </c>
      <c r="D9" s="30">
        <f t="shared" si="0"/>
        <v>1.2999999999999998</v>
      </c>
      <c r="E9" s="30">
        <f t="shared" si="6"/>
        <v>0.25999999999999995</v>
      </c>
      <c r="F9" s="31">
        <f t="shared" si="1"/>
        <v>35.85935</v>
      </c>
      <c r="G9" s="31">
        <f t="shared" si="2"/>
        <v>27.86797</v>
      </c>
      <c r="H9" s="32">
        <f t="shared" si="3"/>
        <v>0.17238000000000003</v>
      </c>
      <c r="I9" s="33">
        <f t="shared" si="7"/>
        <v>7.818999999999999</v>
      </c>
      <c r="J9" s="29">
        <v>0.25</v>
      </c>
      <c r="K9" s="34">
        <f t="shared" si="8"/>
        <v>8.068999999999999</v>
      </c>
      <c r="L9" s="30">
        <v>0.769</v>
      </c>
      <c r="M9" s="35">
        <f t="shared" si="9"/>
        <v>8.838</v>
      </c>
      <c r="N9" s="36">
        <f t="shared" si="4"/>
        <v>2.721600000000001</v>
      </c>
      <c r="O9" s="38"/>
      <c r="P9" s="30">
        <v>9.02</v>
      </c>
      <c r="Q9" s="31">
        <f t="shared" si="10"/>
        <v>8.86554</v>
      </c>
      <c r="R9" s="31">
        <f t="shared" si="5"/>
        <v>2.7248640000000006</v>
      </c>
    </row>
    <row r="10" spans="1:20" ht="15" customHeight="1">
      <c r="A10" s="62">
        <v>0.75</v>
      </c>
      <c r="B10" s="62">
        <v>0.65</v>
      </c>
      <c r="C10" s="62">
        <v>10</v>
      </c>
      <c r="D10" s="62">
        <f t="shared" si="0"/>
        <v>1.4000000000000004</v>
      </c>
      <c r="E10" s="62">
        <f t="shared" si="6"/>
        <v>0.2800000000000001</v>
      </c>
      <c r="F10" s="63">
        <f t="shared" si="1"/>
        <v>43.7414</v>
      </c>
      <c r="G10" s="63">
        <f t="shared" si="2"/>
        <v>34.345479999999995</v>
      </c>
      <c r="H10" s="64">
        <f t="shared" si="3"/>
        <v>0.19992000000000004</v>
      </c>
      <c r="I10" s="65">
        <f t="shared" si="7"/>
        <v>9.196000000000003</v>
      </c>
      <c r="J10" s="62">
        <v>0.25</v>
      </c>
      <c r="K10" s="65">
        <f t="shared" si="8"/>
        <v>9.446000000000003</v>
      </c>
      <c r="L10" s="62">
        <v>0.769</v>
      </c>
      <c r="M10" s="65">
        <f t="shared" si="9"/>
        <v>10.215000000000003</v>
      </c>
      <c r="N10" s="64">
        <f t="shared" si="4"/>
        <v>2.8848000000000003</v>
      </c>
      <c r="O10" s="38"/>
      <c r="P10" s="29">
        <v>10.18</v>
      </c>
      <c r="Q10" s="31">
        <f t="shared" si="10"/>
        <v>10.481220000000004</v>
      </c>
      <c r="R10" s="31">
        <f t="shared" si="5"/>
        <v>2.9141760000000003</v>
      </c>
      <c r="T10" s="39"/>
    </row>
    <row r="11" spans="1:18" ht="15" customHeight="1">
      <c r="A11" s="29">
        <v>0.75</v>
      </c>
      <c r="B11" s="29">
        <v>0.65</v>
      </c>
      <c r="C11" s="29">
        <v>11</v>
      </c>
      <c r="D11" s="30">
        <f t="shared" si="0"/>
        <v>1.5</v>
      </c>
      <c r="E11" s="30">
        <f t="shared" si="6"/>
        <v>0.3</v>
      </c>
      <c r="F11" s="31">
        <f t="shared" si="1"/>
        <v>52.40375000000002</v>
      </c>
      <c r="G11" s="31">
        <f t="shared" si="2"/>
        <v>41.49925</v>
      </c>
      <c r="H11" s="32">
        <f t="shared" si="3"/>
        <v>0.22950000000000015</v>
      </c>
      <c r="I11" s="33">
        <f>F11-G11-H11</f>
        <v>10.675000000000013</v>
      </c>
      <c r="J11" s="29">
        <v>0.25</v>
      </c>
      <c r="K11" s="34">
        <f>I11+J11</f>
        <v>10.925000000000013</v>
      </c>
      <c r="L11" s="30">
        <v>0.769</v>
      </c>
      <c r="M11" s="35">
        <f>K11+L11</f>
        <v>11.694000000000013</v>
      </c>
      <c r="N11" s="36">
        <f t="shared" si="4"/>
        <v>3.048000000000002</v>
      </c>
      <c r="O11" s="37"/>
      <c r="P11" s="29">
        <v>11.88</v>
      </c>
      <c r="Q11" s="31">
        <f t="shared" si="10"/>
        <v>13.762000000000015</v>
      </c>
      <c r="R11" s="31">
        <f t="shared" si="5"/>
        <v>3.1916160000000002</v>
      </c>
    </row>
    <row r="12" spans="1:18" ht="15" customHeight="1">
      <c r="A12" s="29">
        <v>0.75</v>
      </c>
      <c r="B12" s="29">
        <v>0.65</v>
      </c>
      <c r="C12" s="29">
        <v>12</v>
      </c>
      <c r="D12" s="30">
        <f t="shared" si="0"/>
        <v>1.5999999999999996</v>
      </c>
      <c r="E12" s="30">
        <f>D12/5</f>
        <v>0.31999999999999995</v>
      </c>
      <c r="F12" s="31">
        <f t="shared" si="1"/>
        <v>61.84640000000001</v>
      </c>
      <c r="G12" s="31">
        <f t="shared" si="2"/>
        <v>49.32928</v>
      </c>
      <c r="H12" s="32">
        <f t="shared" si="3"/>
        <v>0.2611199999999999</v>
      </c>
      <c r="I12" s="33">
        <f>F12-G12-H12</f>
        <v>12.256000000000013</v>
      </c>
      <c r="J12" s="29">
        <v>0.25</v>
      </c>
      <c r="K12" s="34">
        <f>I12+J12</f>
        <v>12.506000000000013</v>
      </c>
      <c r="L12" s="30">
        <f>0.769*2</f>
        <v>1.538</v>
      </c>
      <c r="M12" s="35">
        <f>K12+L12</f>
        <v>14.044000000000013</v>
      </c>
      <c r="N12" s="36">
        <f t="shared" si="4"/>
        <v>3.2112</v>
      </c>
      <c r="O12" s="37"/>
      <c r="P12" s="29">
        <v>12.25</v>
      </c>
      <c r="Q12" s="31">
        <f>(M13-M12)/1*(P12-C12)+M12</f>
        <v>14.46475000000001</v>
      </c>
      <c r="R12" s="31">
        <f>(N13-N12)/1*(P12-C12)+N12</f>
        <v>3.252</v>
      </c>
    </row>
    <row r="13" spans="1:15" ht="15" customHeight="1">
      <c r="A13" s="29">
        <v>0.75</v>
      </c>
      <c r="B13" s="29">
        <v>0.65</v>
      </c>
      <c r="C13" s="29">
        <v>13</v>
      </c>
      <c r="D13" s="30">
        <f t="shared" si="0"/>
        <v>1.6999999999999993</v>
      </c>
      <c r="E13" s="30">
        <f>D13/5</f>
        <v>0.33999999999999986</v>
      </c>
      <c r="F13" s="31">
        <f t="shared" si="1"/>
        <v>72.06935</v>
      </c>
      <c r="G13" s="31">
        <f t="shared" si="2"/>
        <v>57.835570000000004</v>
      </c>
      <c r="H13" s="32">
        <f t="shared" si="3"/>
        <v>0.2947799999999999</v>
      </c>
      <c r="I13" s="33">
        <f>F13-G13-H13</f>
        <v>13.938999999999997</v>
      </c>
      <c r="J13" s="29">
        <v>0.25</v>
      </c>
      <c r="K13" s="34">
        <f>I13+J13</f>
        <v>14.188999999999997</v>
      </c>
      <c r="L13" s="30">
        <f>0.769*2</f>
        <v>1.538</v>
      </c>
      <c r="M13" s="35">
        <f>K13+L13</f>
        <v>15.726999999999997</v>
      </c>
      <c r="N13" s="36">
        <f t="shared" si="4"/>
        <v>3.3744</v>
      </c>
      <c r="O13" s="37"/>
    </row>
    <row r="14" spans="1:15" ht="15" customHeight="1">
      <c r="A14" s="29">
        <v>0.75</v>
      </c>
      <c r="B14" s="29">
        <v>0.65</v>
      </c>
      <c r="C14" s="29">
        <v>1</v>
      </c>
      <c r="D14" s="30">
        <f>C14*A14-(C14*B14-0.4)</f>
        <v>0.5</v>
      </c>
      <c r="E14" s="30">
        <f>D14/5</f>
        <v>0.1</v>
      </c>
      <c r="F14" s="31">
        <f>(0.4+0.4+$A14*(C14+E14))*(C14+E14)/2</f>
        <v>0.89375</v>
      </c>
      <c r="G14" s="31">
        <f>$B14*(C14+E14)^2/2</f>
        <v>0.3932500000000001</v>
      </c>
      <c r="H14" s="32">
        <f>(0.4+$A14*(C14+E14)-$B14*(C14+E14))*E14/2</f>
        <v>0.025500000000000002</v>
      </c>
      <c r="I14" s="33">
        <f>F14-G14-H14</f>
        <v>0.4749999999999999</v>
      </c>
      <c r="J14" s="29">
        <v>0.25</v>
      </c>
      <c r="K14" s="34">
        <f>I14+J14</f>
        <v>0.7249999999999999</v>
      </c>
      <c r="L14" s="30"/>
      <c r="M14" s="35">
        <f t="shared" si="9"/>
        <v>0.7249999999999999</v>
      </c>
      <c r="N14" s="36">
        <f>((0.4+A14*(C14+E14)-B14*(C14+E14))*2+0.25+0.5)*1.6/2</f>
        <v>1.4160000000000001</v>
      </c>
      <c r="O14" s="37"/>
    </row>
    <row r="15" spans="1:15" ht="15" customHeight="1">
      <c r="A15" s="29">
        <v>0.75</v>
      </c>
      <c r="B15" s="29">
        <v>0.65</v>
      </c>
      <c r="C15" s="29">
        <v>2</v>
      </c>
      <c r="D15" s="30">
        <f>C15*A15-(C15*B15-0.4)</f>
        <v>0.6</v>
      </c>
      <c r="E15" s="30">
        <f>D15/5</f>
        <v>0.12</v>
      </c>
      <c r="F15" s="31">
        <f>(0.4+0.4+$A15*(C15+E15))*(C15+E15)/2</f>
        <v>2.5334000000000003</v>
      </c>
      <c r="G15" s="31">
        <f>$B15*(C15+E15)^2/2</f>
        <v>1.4606800000000002</v>
      </c>
      <c r="H15" s="32">
        <f>(0.4+$A15*(C15+E15)-$B15*(C15+E15))*E15/2</f>
        <v>0.03672</v>
      </c>
      <c r="I15" s="33">
        <f t="shared" si="7"/>
        <v>1.036</v>
      </c>
      <c r="J15" s="29">
        <v>0.25</v>
      </c>
      <c r="K15" s="34">
        <f t="shared" si="8"/>
        <v>1.286</v>
      </c>
      <c r="L15" s="30"/>
      <c r="M15" s="35">
        <f t="shared" si="9"/>
        <v>1.286</v>
      </c>
      <c r="N15" s="36">
        <f>((0.4+A15*(C15+E15)-B15*(C15+E15))*2+0.25+0.5)*1.6/2</f>
        <v>1.5792000000000002</v>
      </c>
      <c r="O15" s="37"/>
    </row>
    <row r="16" spans="1:15" ht="15" customHeight="1">
      <c r="A16" s="29">
        <v>0.75</v>
      </c>
      <c r="B16" s="29">
        <v>0.65</v>
      </c>
      <c r="C16" s="29">
        <v>3</v>
      </c>
      <c r="D16" s="30">
        <f>C16*A16-(C16*B16-0.4)</f>
        <v>0.6999999999999997</v>
      </c>
      <c r="E16" s="30">
        <f>D16/5</f>
        <v>0.13999999999999996</v>
      </c>
      <c r="F16" s="31">
        <f>(0.4+0.4+$A16*(C16+E16))*(C16+E16)/2</f>
        <v>4.95335</v>
      </c>
      <c r="G16" s="31">
        <f>$B16*(C16+E16)^2/2</f>
        <v>3.2043700000000004</v>
      </c>
      <c r="H16" s="32">
        <f>(0.4+$A16*(C16+E16)-$B16*(C16+E16))*E16/2</f>
        <v>0.049979999999999955</v>
      </c>
      <c r="I16" s="33">
        <f>F16-G16-H16</f>
        <v>1.699</v>
      </c>
      <c r="J16" s="29">
        <v>0.25</v>
      </c>
      <c r="K16" s="34">
        <f>I16+J16</f>
        <v>1.949</v>
      </c>
      <c r="L16" s="30"/>
      <c r="M16" s="35">
        <f>K16+L16</f>
        <v>1.949</v>
      </c>
      <c r="N16" s="36">
        <f>((0.4+A16*(C16+E16)-B16*(C16+E16))*2+0.25+0.5)*1.6/2</f>
        <v>1.7423999999999993</v>
      </c>
      <c r="O16" s="37"/>
    </row>
    <row r="17" ht="12">
      <c r="O17" s="37"/>
    </row>
    <row r="18" spans="2:15" ht="24">
      <c r="B18" s="29" t="s">
        <v>42</v>
      </c>
      <c r="C18" s="29" t="s">
        <v>43</v>
      </c>
      <c r="O18" s="37"/>
    </row>
    <row r="19" spans="2:15" ht="12">
      <c r="B19" s="29">
        <v>10.215</v>
      </c>
      <c r="C19" s="29">
        <v>2.8848000000000003</v>
      </c>
      <c r="O19" s="37"/>
    </row>
    <row r="20" ht="12">
      <c r="O20" s="37"/>
    </row>
    <row r="21" ht="12">
      <c r="O21" s="37"/>
    </row>
    <row r="22" ht="12">
      <c r="O22" s="37"/>
    </row>
    <row r="23" ht="12">
      <c r="O23" s="37"/>
    </row>
    <row r="24" ht="12">
      <c r="O24" s="37"/>
    </row>
    <row r="25" ht="12">
      <c r="O25" s="37"/>
    </row>
    <row r="26" ht="12">
      <c r="O26" s="37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4">
      <selection activeCell="A32" sqref="A32"/>
    </sheetView>
  </sheetViews>
  <sheetFormatPr defaultColWidth="9.00390625" defaultRowHeight="14.25"/>
  <cols>
    <col min="1" max="1" width="17.50390625" style="10" customWidth="1"/>
    <col min="2" max="2" width="19.25390625" style="10" customWidth="1"/>
    <col min="3" max="3" width="5.50390625" style="10" bestFit="1" customWidth="1"/>
    <col min="4" max="4" width="8.875" style="10" customWidth="1"/>
    <col min="5" max="5" width="7.625" style="10" customWidth="1"/>
    <col min="6" max="7" width="9.50390625" style="10" bestFit="1" customWidth="1"/>
    <col min="8" max="8" width="12.50390625" style="10" bestFit="1" customWidth="1"/>
    <col min="9" max="9" width="9.875" style="10" customWidth="1"/>
    <col min="10" max="10" width="10.25390625" style="10" customWidth="1"/>
    <col min="11" max="11" width="8.125" style="10" bestFit="1" customWidth="1"/>
    <col min="12" max="16" width="9.00390625" style="10" customWidth="1"/>
    <col min="17" max="17" width="13.125" style="10" bestFit="1" customWidth="1"/>
    <col min="18" max="16384" width="9.00390625" style="10" customWidth="1"/>
  </cols>
  <sheetData>
    <row r="1" spans="1:8" ht="48.75" customHeight="1" thickBot="1">
      <c r="A1" s="77" t="s">
        <v>4</v>
      </c>
      <c r="B1" s="77"/>
      <c r="C1" s="77"/>
      <c r="D1" s="77"/>
      <c r="E1" s="77"/>
      <c r="F1" s="77"/>
      <c r="G1" s="77"/>
      <c r="H1" s="77"/>
    </row>
    <row r="2" spans="1:12" ht="14.25">
      <c r="A2" s="79" t="s">
        <v>5</v>
      </c>
      <c r="B2" s="80"/>
      <c r="C2" s="80"/>
      <c r="D2" s="80"/>
      <c r="E2" s="80"/>
      <c r="F2" s="80"/>
      <c r="G2" s="80"/>
      <c r="H2" s="80"/>
      <c r="I2" s="80"/>
      <c r="J2" s="80"/>
      <c r="K2" s="11"/>
      <c r="L2" s="12"/>
    </row>
    <row r="3" spans="1:19" ht="14.25">
      <c r="A3" s="13" t="s">
        <v>6</v>
      </c>
      <c r="B3" s="9" t="s">
        <v>7</v>
      </c>
      <c r="C3" s="3" t="s">
        <v>8</v>
      </c>
      <c r="D3" s="9" t="s">
        <v>9</v>
      </c>
      <c r="E3" s="81" t="s">
        <v>10</v>
      </c>
      <c r="F3" s="81"/>
      <c r="G3" s="78" t="s">
        <v>11</v>
      </c>
      <c r="H3" s="78"/>
      <c r="I3" s="78" t="s">
        <v>12</v>
      </c>
      <c r="J3" s="78"/>
      <c r="K3" s="75" t="s">
        <v>13</v>
      </c>
      <c r="L3" s="76"/>
      <c r="M3" s="72" t="s">
        <v>14</v>
      </c>
      <c r="N3" s="73"/>
      <c r="O3" s="73" t="s">
        <v>15</v>
      </c>
      <c r="P3" s="73"/>
      <c r="Q3" s="73" t="s">
        <v>16</v>
      </c>
      <c r="R3" s="73"/>
      <c r="S3" s="10" t="s">
        <v>17</v>
      </c>
    </row>
    <row r="4" spans="1:20" ht="14.25">
      <c r="A4" s="16"/>
      <c r="B4" s="3"/>
      <c r="C4" s="3"/>
      <c r="D4" s="3"/>
      <c r="E4" s="7" t="s">
        <v>18</v>
      </c>
      <c r="F4" s="7" t="s">
        <v>19</v>
      </c>
      <c r="G4" s="4" t="s">
        <v>18</v>
      </c>
      <c r="H4" s="4" t="s">
        <v>19</v>
      </c>
      <c r="I4" s="4" t="s">
        <v>18</v>
      </c>
      <c r="J4" s="4" t="s">
        <v>19</v>
      </c>
      <c r="K4" s="14" t="s">
        <v>18</v>
      </c>
      <c r="L4" s="15" t="s">
        <v>19</v>
      </c>
      <c r="M4" s="10" t="s">
        <v>20</v>
      </c>
      <c r="N4" s="10" t="s">
        <v>21</v>
      </c>
      <c r="O4" s="10" t="s">
        <v>3</v>
      </c>
      <c r="P4" s="10" t="s">
        <v>22</v>
      </c>
      <c r="Q4" s="10" t="s">
        <v>23</v>
      </c>
      <c r="R4" s="10" t="s">
        <v>24</v>
      </c>
      <c r="T4" s="10" t="s">
        <v>25</v>
      </c>
    </row>
    <row r="5" spans="1:20" ht="15" thickBot="1">
      <c r="A5" s="1">
        <v>0.75</v>
      </c>
      <c r="B5" s="2">
        <v>0.65</v>
      </c>
      <c r="C5" s="2">
        <v>0.4</v>
      </c>
      <c r="D5" s="2">
        <v>0.2</v>
      </c>
      <c r="E5" s="8">
        <f>ATAN(D5)</f>
        <v>0.19739555984988078</v>
      </c>
      <c r="F5" s="8">
        <f>DEGREES(E5)</f>
        <v>11.309932474020215</v>
      </c>
      <c r="G5" s="5">
        <f>PI()/2-ATAN(A5)</f>
        <v>0.9272952180016122</v>
      </c>
      <c r="H5" s="6">
        <f>DEGREES(G5)</f>
        <v>53.13010235415598</v>
      </c>
      <c r="I5" s="5">
        <f>PI()/2-ATAN(B5)</f>
        <v>0.9944211062037128</v>
      </c>
      <c r="J5" s="6">
        <f>DEGREES(I5)</f>
        <v>56.97613244420335</v>
      </c>
      <c r="K5" s="17">
        <f>PI()-(E5+G5)</f>
        <v>2.0169018757383004</v>
      </c>
      <c r="L5" s="18">
        <f>180-F5-H5</f>
        <v>115.55996517182379</v>
      </c>
      <c r="M5" s="10">
        <f>N5*B5</f>
        <v>0.65</v>
      </c>
      <c r="N5" s="10">
        <v>1</v>
      </c>
      <c r="O5" s="10">
        <v>0.5</v>
      </c>
      <c r="P5" s="10">
        <v>0.5</v>
      </c>
      <c r="Q5" s="10">
        <v>0.25</v>
      </c>
      <c r="R5" s="10">
        <v>0.25</v>
      </c>
      <c r="S5" s="10">
        <f>1.5+0.5</f>
        <v>2</v>
      </c>
      <c r="T5" s="10">
        <v>1.5</v>
      </c>
    </row>
    <row r="8" spans="1:8" ht="15" thickBot="1">
      <c r="A8" s="73" t="s">
        <v>26</v>
      </c>
      <c r="B8" s="73"/>
      <c r="C8" s="73"/>
      <c r="D8" s="73"/>
      <c r="E8" s="73"/>
      <c r="F8" s="73"/>
      <c r="G8" s="73"/>
      <c r="H8" s="73"/>
    </row>
    <row r="9" spans="1:8" ht="28.5">
      <c r="A9" s="19" t="s">
        <v>0</v>
      </c>
      <c r="B9" s="11" t="s">
        <v>1</v>
      </c>
      <c r="C9" s="11" t="s">
        <v>27</v>
      </c>
      <c r="D9" s="11" t="s">
        <v>2</v>
      </c>
      <c r="E9" s="20" t="s">
        <v>28</v>
      </c>
      <c r="F9" s="11" t="s">
        <v>29</v>
      </c>
      <c r="G9" s="11" t="s">
        <v>30</v>
      </c>
      <c r="H9" s="12" t="s">
        <v>31</v>
      </c>
    </row>
    <row r="10" spans="1:9" ht="14.25">
      <c r="A10" s="21">
        <v>3</v>
      </c>
      <c r="B10" s="22">
        <f>((($A$5-$B$5)*A10+$C$5)*SIN($G$5)/SIN($K$5))*SIN($E$5)</f>
        <v>0.12173913043478261</v>
      </c>
      <c r="C10" s="22">
        <f aca="true" t="shared" si="0" ref="C10:C18">(($A$5-$B$5)*A10+$C$5)</f>
        <v>0.7</v>
      </c>
      <c r="D10" s="22">
        <f aca="true" t="shared" si="1" ref="D10:D18">((($A$5-$B$5)*A10+$C$5)*SIN($G$5)/SIN($K$5))*COS($E$5)</f>
        <v>0.608695652173913</v>
      </c>
      <c r="E10" s="22">
        <f>IF(AND(A10&gt;=3,A10&lt;6),(C10+$C$5)*A10/2-C10*B10/2+M5*N5/2,IF(AND(A10&gt;=6,A10&lt;9),(C10+$C$5)*A10/2-C10*B10/2+M5*N5/2*2,IF(AND(A10&gt;=9,A10&lt;12),(C10+$C$5)*A10/2-C10*B10/2+M5*N5/2*3)))</f>
        <v>1.9323913043478262</v>
      </c>
      <c r="F10" s="22">
        <f>((D10+2*$O$5+$Q$5)+(D10+2*$O$5+$Q$5)+$S$5*$R$5)*$S$5/2</f>
        <v>4.217391304347826</v>
      </c>
      <c r="G10" s="22">
        <f>$O$5*$O$5/$B$5/2+($Q$5*2+($P$5+B10)*$R$5)*($P$5+B10)/2+(($Q$5+($P$5+B10)*$R$5+$O$5)*2+($T$5-B10)*$R$5+($T$5-B10)*$A$5)*($T$5-B10)/2</f>
        <v>2.593789261305802</v>
      </c>
      <c r="H10" s="23">
        <f>(D10+$O$5*2)*$P$5+($O$5+$D$10+$O$5)*B10/2</f>
        <v>0.9022684310018904</v>
      </c>
      <c r="I10" s="24"/>
    </row>
    <row r="11" spans="1:8" ht="14.25">
      <c r="A11" s="21">
        <v>4</v>
      </c>
      <c r="B11" s="22">
        <f aca="true" t="shared" si="2" ref="B11:B19">((($A$5-$B$5)*A11+$C$5)*SIN($G$5)/SIN($K$5))*SIN($E$5)</f>
        <v>0.1391304347826087</v>
      </c>
      <c r="C11" s="22">
        <f t="shared" si="0"/>
        <v>0.7999999999999999</v>
      </c>
      <c r="D11" s="22">
        <f t="shared" si="1"/>
        <v>0.6956521739130433</v>
      </c>
      <c r="E11" s="22">
        <f>IF(AND(A11&gt;=3,A11&lt;6),(C11+$C$5)*A11/2-C11*B11/2+M6*N6/2,IF(AND(A11&gt;=6,A11&lt;9),(C11+$C$5)*A11/2-C11*B11/2+M6*N6/2*2,IF(AND(A11&gt;=9,A11&lt;12),(C11+$C$5)*A11/2-C11*B11/2+M6*N6/2*3)))</f>
        <v>2.3443478260869566</v>
      </c>
      <c r="F11" s="22">
        <f aca="true" t="shared" si="3" ref="F11:F18">((D11+2*$O$5+$Q$5)+(D11+2*$O$5+$Q$5)+$S$5*$R$5)*$S$5/2</f>
        <v>4.391304347826087</v>
      </c>
      <c r="G11" s="22">
        <f aca="true" t="shared" si="4" ref="G11:G18">$O$5*$O$5/$B$5/2+($Q$5*2+($P$5+B11)*$R$5)*($P$5+B11)/2+(($Q$5+($P$5+B11)*$R$5+$O$5)*2+($T$5-B11)*$R$5+($T$5-B11)*$A$5)*($T$5-B11)/2</f>
        <v>2.567229714992002</v>
      </c>
      <c r="H11" s="23">
        <f>(D11+$O$5*2)*$P$5+($O$5+$D$10+$O$5)*B11/2</f>
        <v>0.9597353497164461</v>
      </c>
    </row>
    <row r="12" spans="1:8" ht="14.25">
      <c r="A12" s="21">
        <v>5</v>
      </c>
      <c r="B12" s="22">
        <f t="shared" si="2"/>
        <v>0.15652173913043477</v>
      </c>
      <c r="C12" s="22">
        <f t="shared" si="0"/>
        <v>0.8999999999999999</v>
      </c>
      <c r="D12" s="22">
        <f t="shared" si="1"/>
        <v>0.7826086956521738</v>
      </c>
      <c r="E12" s="22">
        <f>IF(AND(A12&gt;=3,A12&lt;6),(C12+$C$5)*A12/2-C12*B12/2+M7*N7/2,IF(AND(A12&gt;=6,A12&lt;9),(C12+$C$5)*A12/2-C12*B12/2+M7*N7/2*2,IF(AND(A12&gt;=9,A12&lt;12),(C12+$C$5)*A12/2-C12*B12/2+M7*N7/2*3)))</f>
        <v>3.179565217391304</v>
      </c>
      <c r="F12" s="22">
        <f t="shared" si="3"/>
        <v>4.565217391304348</v>
      </c>
      <c r="G12" s="22">
        <f t="shared" si="4"/>
        <v>2.540897011778392</v>
      </c>
      <c r="H12" s="23">
        <f aca="true" t="shared" si="5" ref="H12:H19">(D12+$O$5*2)*$P$5+($O$5+$D$10+$O$5)*B12/2</f>
        <v>1.0172022684310018</v>
      </c>
    </row>
    <row r="13" spans="1:8" ht="14.25">
      <c r="A13" s="21">
        <v>6</v>
      </c>
      <c r="B13" s="22">
        <f t="shared" si="2"/>
        <v>0.17391304347826086</v>
      </c>
      <c r="C13" s="22">
        <f t="shared" si="0"/>
        <v>0.9999999999999999</v>
      </c>
      <c r="D13" s="22">
        <f t="shared" si="1"/>
        <v>0.8695652173913042</v>
      </c>
      <c r="E13" s="22">
        <f>IF(AND(A13&gt;=3,A13&lt;6),(C13+$C$5)*A13/2-C13*B13/2+M8*N8/2,IF(AND(A13&gt;=6,A13&lt;9),(C13+$C$5)*A13/2-C13*B13/2+M8*N8/2*2,IF(AND(A13&gt;=9,A13&lt;12),(C13+$C$5)*A13/2-C13*B13/2+M8*N8/2*3)))</f>
        <v>4.1130434782608685</v>
      </c>
      <c r="F13" s="22">
        <f t="shared" si="3"/>
        <v>4.739130434782608</v>
      </c>
      <c r="G13" s="22">
        <f t="shared" si="4"/>
        <v>2.5147911516649706</v>
      </c>
      <c r="H13" s="23">
        <f t="shared" si="5"/>
        <v>1.0746691871455576</v>
      </c>
    </row>
    <row r="14" spans="1:8" ht="14.25">
      <c r="A14" s="21">
        <v>7</v>
      </c>
      <c r="B14" s="22">
        <f t="shared" si="2"/>
        <v>0.19130434782608693</v>
      </c>
      <c r="C14" s="22">
        <f t="shared" si="0"/>
        <v>1.0999999999999999</v>
      </c>
      <c r="D14" s="22">
        <f t="shared" si="1"/>
        <v>0.9565217391304345</v>
      </c>
      <c r="E14" s="22">
        <f aca="true" t="shared" si="6" ref="E14:E19">IF(AND(A14&gt;=3,A14&lt;6),(C14+$C$5)*A14/2-C14*B14/2+L9*M9/2,IF(AND(A14&gt;=6,A14&lt;9),(C14+$C$5)*A14/2-C14*B14/2+L9*M9/2*2,IF(AND(A14&gt;=9,A14&lt;12),(C14+$C$5)*A14/2-C14*B14/2+L9*M9/2*3)))</f>
        <v>5.144782608695652</v>
      </c>
      <c r="F14" s="22">
        <f t="shared" si="3"/>
        <v>4.913043478260869</v>
      </c>
      <c r="G14" s="22">
        <f t="shared" si="4"/>
        <v>2.4889121346517378</v>
      </c>
      <c r="H14" s="23">
        <f t="shared" si="5"/>
        <v>1.1321361058601134</v>
      </c>
    </row>
    <row r="15" spans="1:8" ht="14.25">
      <c r="A15" s="21">
        <v>8</v>
      </c>
      <c r="B15" s="22">
        <f t="shared" si="2"/>
        <v>0.208695652173913</v>
      </c>
      <c r="C15" s="22">
        <f t="shared" si="0"/>
        <v>1.1999999999999997</v>
      </c>
      <c r="D15" s="22">
        <f t="shared" si="1"/>
        <v>1.043478260869565</v>
      </c>
      <c r="E15" s="22">
        <f t="shared" si="6"/>
        <v>6.27478260869565</v>
      </c>
      <c r="F15" s="22">
        <f t="shared" si="3"/>
        <v>5.08695652173913</v>
      </c>
      <c r="G15" s="22">
        <f t="shared" si="4"/>
        <v>2.463259960738694</v>
      </c>
      <c r="H15" s="23">
        <f t="shared" si="5"/>
        <v>1.189603024574669</v>
      </c>
    </row>
    <row r="16" spans="1:8" ht="14.25">
      <c r="A16" s="21">
        <v>9</v>
      </c>
      <c r="B16" s="22">
        <f t="shared" si="2"/>
        <v>0.2260869565217391</v>
      </c>
      <c r="C16" s="22">
        <f t="shared" si="0"/>
        <v>1.2999999999999998</v>
      </c>
      <c r="D16" s="22">
        <f t="shared" si="1"/>
        <v>1.1304347826086953</v>
      </c>
      <c r="E16" s="22">
        <f t="shared" si="6"/>
        <v>7.503043478260868</v>
      </c>
      <c r="F16" s="22">
        <f t="shared" si="3"/>
        <v>5.260869565217391</v>
      </c>
      <c r="G16" s="22">
        <f t="shared" si="4"/>
        <v>2.4378346299258395</v>
      </c>
      <c r="H16" s="23">
        <f t="shared" si="5"/>
        <v>1.2470699432892247</v>
      </c>
    </row>
    <row r="17" spans="1:8" ht="14.25">
      <c r="A17" s="21">
        <v>10</v>
      </c>
      <c r="B17" s="22">
        <f t="shared" si="2"/>
        <v>0.24347826086956523</v>
      </c>
      <c r="C17" s="22">
        <f t="shared" si="0"/>
        <v>1.4</v>
      </c>
      <c r="D17" s="22">
        <f t="shared" si="1"/>
        <v>1.217391304347826</v>
      </c>
      <c r="E17" s="22">
        <f t="shared" si="6"/>
        <v>8.829565217391304</v>
      </c>
      <c r="F17" s="22">
        <f t="shared" si="3"/>
        <v>5.434782608695652</v>
      </c>
      <c r="G17" s="22">
        <f t="shared" si="4"/>
        <v>2.4126361422131746</v>
      </c>
      <c r="H17" s="23">
        <f t="shared" si="5"/>
        <v>1.3045368620037807</v>
      </c>
    </row>
    <row r="18" spans="1:8" ht="14.25">
      <c r="A18" s="21">
        <v>11</v>
      </c>
      <c r="B18" s="22">
        <f t="shared" si="2"/>
        <v>0.2608695652173912</v>
      </c>
      <c r="C18" s="22">
        <f t="shared" si="0"/>
        <v>1.4999999999999996</v>
      </c>
      <c r="D18" s="22">
        <f t="shared" si="1"/>
        <v>1.3043478260869559</v>
      </c>
      <c r="E18" s="22">
        <f t="shared" si="6"/>
        <v>10.254347826086954</v>
      </c>
      <c r="F18" s="22">
        <f t="shared" si="3"/>
        <v>5.608695652173912</v>
      </c>
      <c r="G18" s="22">
        <f t="shared" si="4"/>
        <v>2.387664497600698</v>
      </c>
      <c r="H18" s="23">
        <f t="shared" si="5"/>
        <v>1.3620037807183363</v>
      </c>
    </row>
    <row r="19" spans="1:8" ht="15" thickBot="1">
      <c r="A19" s="25">
        <v>3.63</v>
      </c>
      <c r="B19" s="26">
        <f t="shared" si="2"/>
        <v>0.13269565217391302</v>
      </c>
      <c r="C19" s="26">
        <f>(($A$5-$B$5)*A19+$C$5)</f>
        <v>0.7629999999999999</v>
      </c>
      <c r="D19" s="26">
        <f>((($A$5-$B$5)*A19+$C$5)*SIN($G$5)/SIN($K$5))*COS($E$5)</f>
        <v>0.6634782608695651</v>
      </c>
      <c r="E19" s="26">
        <f t="shared" si="6"/>
        <v>2.0602216086956515</v>
      </c>
      <c r="F19" s="26">
        <f>((D19+2*$O$5+$Q$5)+(D19+2*$O$5+$Q$5)+$S$5*$R$5)*$S$5/2</f>
        <v>4.32695652173913</v>
      </c>
      <c r="G19" s="26">
        <f>$O$5*$O$5/$B$5/2+($Q$5*2+($P$5+B19)*$R$5)*($P$5+B19)/2+(($Q$5+($P$5+B19)*$R$5+$O$5)*2+($T$5-B19)*$R$5+($T$5-B19)*$A$5)*($T$5-B19)/2</f>
        <v>2.577030308564781</v>
      </c>
      <c r="H19" s="27">
        <f t="shared" si="5"/>
        <v>0.9384725897920604</v>
      </c>
    </row>
    <row r="20" spans="1:8" ht="14.25">
      <c r="A20" s="74" t="s">
        <v>32</v>
      </c>
      <c r="B20" s="74"/>
      <c r="C20" s="74"/>
      <c r="D20" s="74"/>
      <c r="E20" s="74"/>
      <c r="F20" s="74"/>
      <c r="G20" s="74"/>
      <c r="H20" s="74"/>
    </row>
    <row r="21" spans="1:8" ht="14.25">
      <c r="A21" s="74"/>
      <c r="B21" s="74"/>
      <c r="C21" s="74"/>
      <c r="D21" s="74"/>
      <c r="E21" s="74"/>
      <c r="F21" s="74"/>
      <c r="G21" s="74"/>
      <c r="H21" s="74"/>
    </row>
    <row r="22" spans="1:8" ht="14.25">
      <c r="A22" s="74"/>
      <c r="B22" s="74"/>
      <c r="C22" s="74"/>
      <c r="D22" s="74"/>
      <c r="E22" s="74"/>
      <c r="F22" s="74"/>
      <c r="G22" s="74"/>
      <c r="H22" s="74"/>
    </row>
    <row r="23" spans="1:8" ht="14.25">
      <c r="A23" s="74"/>
      <c r="B23" s="74"/>
      <c r="C23" s="74"/>
      <c r="D23" s="74"/>
      <c r="E23" s="74"/>
      <c r="F23" s="74"/>
      <c r="G23" s="74"/>
      <c r="H23" s="74"/>
    </row>
    <row r="24" spans="1:8" ht="14.25">
      <c r="A24" s="74"/>
      <c r="B24" s="74"/>
      <c r="C24" s="74"/>
      <c r="D24" s="74"/>
      <c r="E24" s="74"/>
      <c r="F24" s="74"/>
      <c r="G24" s="74"/>
      <c r="H24" s="74"/>
    </row>
    <row r="25" spans="1:8" ht="14.25">
      <c r="A25" s="74"/>
      <c r="B25" s="74"/>
      <c r="C25" s="74"/>
      <c r="D25" s="74"/>
      <c r="E25" s="74"/>
      <c r="F25" s="74"/>
      <c r="G25" s="74"/>
      <c r="H25" s="74"/>
    </row>
  </sheetData>
  <mergeCells count="11">
    <mergeCell ref="A1:H1"/>
    <mergeCell ref="I3:J3"/>
    <mergeCell ref="A2:J2"/>
    <mergeCell ref="E3:F3"/>
    <mergeCell ref="G3:H3"/>
    <mergeCell ref="M3:N3"/>
    <mergeCell ref="O3:P3"/>
    <mergeCell ref="Q3:R3"/>
    <mergeCell ref="A20:H25"/>
    <mergeCell ref="K3:L3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H17" sqref="H17"/>
    </sheetView>
  </sheetViews>
  <sheetFormatPr defaultColWidth="9.00390625" defaultRowHeight="14.25"/>
  <cols>
    <col min="1" max="1" width="7.00390625" style="41" customWidth="1"/>
    <col min="2" max="2" width="7.75390625" style="41" customWidth="1"/>
    <col min="3" max="3" width="4.375" style="41" customWidth="1"/>
    <col min="4" max="4" width="3.75390625" style="41" customWidth="1"/>
    <col min="5" max="5" width="4.625" style="41" customWidth="1"/>
    <col min="6" max="7" width="6.375" style="41" customWidth="1"/>
    <col min="8" max="8" width="4.625" style="41" customWidth="1"/>
    <col min="9" max="9" width="7.25390625" style="41" customWidth="1"/>
    <col min="10" max="10" width="4.625" style="41" customWidth="1"/>
    <col min="11" max="11" width="7.25390625" style="41" customWidth="1"/>
    <col min="12" max="12" width="5.50390625" style="41" customWidth="1"/>
    <col min="13" max="13" width="7.625" style="41" customWidth="1"/>
    <col min="14" max="15" width="4.625" style="41" customWidth="1"/>
    <col min="16" max="18" width="7.625" style="41" customWidth="1"/>
    <col min="19" max="16384" width="9.00390625" style="41" customWidth="1"/>
  </cols>
  <sheetData>
    <row r="1" spans="1:19" ht="12">
      <c r="A1" s="52"/>
      <c r="B1" s="52"/>
      <c r="C1" s="82" t="s">
        <v>33</v>
      </c>
      <c r="D1" s="82"/>
      <c r="E1" s="82"/>
      <c r="F1" s="82"/>
      <c r="G1" s="82"/>
      <c r="H1" s="82"/>
      <c r="I1" s="82"/>
      <c r="J1" s="82"/>
      <c r="K1" s="82"/>
      <c r="L1" s="52"/>
      <c r="M1" s="52"/>
      <c r="N1" s="52"/>
      <c r="O1" s="52"/>
      <c r="P1" s="52"/>
      <c r="Q1" s="52"/>
      <c r="R1" s="52"/>
      <c r="S1" s="52"/>
    </row>
    <row r="2" spans="1:19" ht="24.75">
      <c r="A2" s="52" t="s">
        <v>45</v>
      </c>
      <c r="B2" s="52" t="s">
        <v>46</v>
      </c>
      <c r="C2" s="54" t="s">
        <v>35</v>
      </c>
      <c r="D2" s="54" t="s">
        <v>2</v>
      </c>
      <c r="E2" s="54" t="s">
        <v>1</v>
      </c>
      <c r="F2" s="52" t="s">
        <v>36</v>
      </c>
      <c r="G2" s="52" t="s">
        <v>37</v>
      </c>
      <c r="H2" s="52" t="s">
        <v>38</v>
      </c>
      <c r="I2" s="52" t="s">
        <v>39</v>
      </c>
      <c r="J2" s="52" t="s">
        <v>40</v>
      </c>
      <c r="K2" s="52" t="s">
        <v>41</v>
      </c>
      <c r="L2" s="52" t="s">
        <v>34</v>
      </c>
      <c r="M2" s="52" t="s">
        <v>42</v>
      </c>
      <c r="N2" s="52" t="s">
        <v>43</v>
      </c>
      <c r="O2" s="52"/>
      <c r="P2" s="52" t="s">
        <v>44</v>
      </c>
      <c r="Q2" s="52" t="s">
        <v>41</v>
      </c>
      <c r="R2" s="52" t="s">
        <v>43</v>
      </c>
      <c r="S2" s="52"/>
    </row>
    <row r="3" spans="1:20" ht="12.75">
      <c r="A3" s="52">
        <v>0.75</v>
      </c>
      <c r="B3" s="52">
        <v>0.65</v>
      </c>
      <c r="C3" s="54">
        <v>3</v>
      </c>
      <c r="D3" s="53">
        <f>C3*0.75-(C3*0.65-0.4)</f>
        <v>0.6999999999999997</v>
      </c>
      <c r="E3" s="53">
        <f>D3/5</f>
        <v>0.13999999999999996</v>
      </c>
      <c r="F3" s="55">
        <f>(0.4+0.4+0.75*(C3+E3))*(C3+E3)/2</f>
        <v>4.95335</v>
      </c>
      <c r="G3" s="55">
        <f>0.65*(C3+E3)^2/2</f>
        <v>3.2043700000000004</v>
      </c>
      <c r="H3" s="56">
        <f>(0.4+0.75*(C3+E3)-0.65*(C3+E3))*E3/2</f>
        <v>0.049979999999999955</v>
      </c>
      <c r="I3" s="57">
        <f>F3-G3-H3</f>
        <v>1.699</v>
      </c>
      <c r="J3" s="52">
        <v>0.25</v>
      </c>
      <c r="K3" s="58">
        <f>I3+J3</f>
        <v>1.949</v>
      </c>
      <c r="L3" s="53">
        <v>0</v>
      </c>
      <c r="M3" s="59">
        <f aca="true" t="shared" si="0" ref="M3:M10">K3+L3</f>
        <v>1.949</v>
      </c>
      <c r="N3" s="60">
        <f>((0.4+0.75*(C3+E3)-0.65*(C3+E3))*2+0.25+0.5)*1.6/2</f>
        <v>1.7423999999999993</v>
      </c>
      <c r="O3" s="60"/>
      <c r="P3" s="53">
        <v>3.5</v>
      </c>
      <c r="Q3" s="55">
        <f>(M4-M3)/1*(P3-C3)+M3</f>
        <v>2.3315</v>
      </c>
      <c r="R3" s="55">
        <f>(N4-N3)/1*(P3-C3)+N3</f>
        <v>1.8239999999999994</v>
      </c>
      <c r="S3" s="61"/>
      <c r="T3" s="42"/>
    </row>
    <row r="4" spans="1:20" ht="12.75">
      <c r="A4" s="52">
        <v>0.75</v>
      </c>
      <c r="B4" s="52">
        <v>0.65</v>
      </c>
      <c r="C4" s="54">
        <v>4</v>
      </c>
      <c r="D4" s="53">
        <f aca="true" t="shared" si="1" ref="D4:D11">C4*0.75-(C4*0.65-0.4)</f>
        <v>0.7999999999999998</v>
      </c>
      <c r="E4" s="53">
        <f>D4/5</f>
        <v>0.15999999999999998</v>
      </c>
      <c r="F4" s="55">
        <f aca="true" t="shared" si="2" ref="F4:F10">(0.4+0.4+0.75*(C4+E4))*(C4+E4)/2</f>
        <v>8.1536</v>
      </c>
      <c r="G4" s="55">
        <f aca="true" t="shared" si="3" ref="G4:G10">0.65*(C4+E4)^2/2</f>
        <v>5.624320000000001</v>
      </c>
      <c r="H4" s="56">
        <f aca="true" t="shared" si="4" ref="H4:H10">(0.4+0.75*(C4+E4)-0.65*(C4+E4))*E4/2</f>
        <v>0.06527999999999998</v>
      </c>
      <c r="I4" s="57">
        <f aca="true" t="shared" si="5" ref="I4:I10">F4-G4-H4</f>
        <v>2.464</v>
      </c>
      <c r="J4" s="52">
        <v>0.25</v>
      </c>
      <c r="K4" s="58">
        <f aca="true" t="shared" si="6" ref="K4:K10">I4+J4</f>
        <v>2.714</v>
      </c>
      <c r="L4" s="53">
        <v>0</v>
      </c>
      <c r="M4" s="59">
        <f t="shared" si="0"/>
        <v>2.714</v>
      </c>
      <c r="N4" s="60">
        <f aca="true" t="shared" si="7" ref="N4:N10">((0.4+0.75*(C4+E4)-0.65*(C4+E4))*2+0.25+0.5)*1.6/2</f>
        <v>1.9055999999999997</v>
      </c>
      <c r="O4" s="60"/>
      <c r="P4" s="53">
        <v>4.69</v>
      </c>
      <c r="Q4" s="55">
        <f>(M5-M4)/1*(P4-C4)+M4</f>
        <v>3.3122300000000005</v>
      </c>
      <c r="R4" s="55">
        <f aca="true" t="shared" si="8" ref="R4:R11">(N5-N4)/1*(P4-C4)+N4</f>
        <v>2.0182080000000004</v>
      </c>
      <c r="S4" s="52"/>
      <c r="T4" s="42"/>
    </row>
    <row r="5" spans="1:19" ht="12">
      <c r="A5" s="52">
        <v>0.75</v>
      </c>
      <c r="B5" s="52">
        <v>0.65</v>
      </c>
      <c r="C5" s="54">
        <v>5</v>
      </c>
      <c r="D5" s="53">
        <f t="shared" si="1"/>
        <v>0.8999999999999999</v>
      </c>
      <c r="E5" s="53">
        <f aca="true" t="shared" si="9" ref="E5:E11">D5/5</f>
        <v>0.18</v>
      </c>
      <c r="F5" s="55">
        <f t="shared" si="2"/>
        <v>12.134149999999998</v>
      </c>
      <c r="G5" s="55">
        <f t="shared" si="3"/>
        <v>8.720529999999998</v>
      </c>
      <c r="H5" s="56">
        <f t="shared" si="4"/>
        <v>0.08262000000000001</v>
      </c>
      <c r="I5" s="57">
        <f t="shared" si="5"/>
        <v>3.331</v>
      </c>
      <c r="J5" s="52">
        <v>0.25</v>
      </c>
      <c r="K5" s="58">
        <f t="shared" si="6"/>
        <v>3.581</v>
      </c>
      <c r="L5" s="53">
        <v>0</v>
      </c>
      <c r="M5" s="59">
        <f t="shared" si="0"/>
        <v>3.581</v>
      </c>
      <c r="N5" s="60">
        <f t="shared" si="7"/>
        <v>2.0688000000000004</v>
      </c>
      <c r="O5" s="60"/>
      <c r="P5" s="53">
        <v>5.5</v>
      </c>
      <c r="Q5" s="55">
        <f aca="true" t="shared" si="10" ref="Q5:Q11">(M6-M5)/1*(P5-C5)+M5</f>
        <v>4.449999999999998</v>
      </c>
      <c r="R5" s="55">
        <f t="shared" si="8"/>
        <v>2.1504000000000003</v>
      </c>
      <c r="S5" s="52"/>
    </row>
    <row r="6" spans="1:20" ht="12.75">
      <c r="A6" s="52">
        <v>0.75</v>
      </c>
      <c r="B6" s="52">
        <v>0.65</v>
      </c>
      <c r="C6" s="54">
        <v>6</v>
      </c>
      <c r="D6" s="53">
        <f t="shared" si="1"/>
        <v>0.9999999999999996</v>
      </c>
      <c r="E6" s="53">
        <f t="shared" si="9"/>
        <v>0.1999999999999999</v>
      </c>
      <c r="F6" s="55">
        <f t="shared" si="2"/>
        <v>16.895</v>
      </c>
      <c r="G6" s="55">
        <f t="shared" si="3"/>
        <v>12.493000000000002</v>
      </c>
      <c r="H6" s="56">
        <f t="shared" si="4"/>
        <v>0.102</v>
      </c>
      <c r="I6" s="57">
        <f t="shared" si="5"/>
        <v>4.299999999999997</v>
      </c>
      <c r="J6" s="52">
        <v>0.25</v>
      </c>
      <c r="K6" s="58">
        <f t="shared" si="6"/>
        <v>4.549999999999997</v>
      </c>
      <c r="L6" s="53">
        <v>0.769</v>
      </c>
      <c r="M6" s="59">
        <f t="shared" si="0"/>
        <v>5.318999999999997</v>
      </c>
      <c r="N6" s="60">
        <f t="shared" si="7"/>
        <v>2.2320000000000007</v>
      </c>
      <c r="O6" s="60"/>
      <c r="P6" s="53">
        <v>6.19</v>
      </c>
      <c r="Q6" s="55">
        <f t="shared" si="10"/>
        <v>5.522489999999998</v>
      </c>
      <c r="R6" s="55">
        <f t="shared" si="8"/>
        <v>2.263008000000001</v>
      </c>
      <c r="S6" s="52"/>
      <c r="T6" s="42"/>
    </row>
    <row r="7" spans="1:19" ht="12">
      <c r="A7" s="52">
        <v>0.75</v>
      </c>
      <c r="B7" s="52">
        <v>0.65</v>
      </c>
      <c r="C7" s="54">
        <v>7</v>
      </c>
      <c r="D7" s="53">
        <f t="shared" si="1"/>
        <v>1.1000000000000005</v>
      </c>
      <c r="E7" s="53">
        <f t="shared" si="9"/>
        <v>0.2200000000000001</v>
      </c>
      <c r="F7" s="55">
        <f t="shared" si="2"/>
        <v>22.436149999999998</v>
      </c>
      <c r="G7" s="55">
        <f t="shared" si="3"/>
        <v>16.94173</v>
      </c>
      <c r="H7" s="56">
        <f t="shared" si="4"/>
        <v>0.12342000000000015</v>
      </c>
      <c r="I7" s="57">
        <f t="shared" si="5"/>
        <v>5.370999999999998</v>
      </c>
      <c r="J7" s="52">
        <v>0.25</v>
      </c>
      <c r="K7" s="58">
        <f t="shared" si="6"/>
        <v>5.620999999999998</v>
      </c>
      <c r="L7" s="53">
        <v>0.769</v>
      </c>
      <c r="M7" s="59">
        <f t="shared" si="0"/>
        <v>6.389999999999998</v>
      </c>
      <c r="N7" s="60">
        <f t="shared" si="7"/>
        <v>2.3952000000000013</v>
      </c>
      <c r="O7" s="60"/>
      <c r="P7" s="53">
        <v>7.14</v>
      </c>
      <c r="Q7" s="55">
        <f t="shared" si="10"/>
        <v>6.554219999999998</v>
      </c>
      <c r="R7" s="55">
        <f t="shared" si="8"/>
        <v>2.418048000000001</v>
      </c>
      <c r="S7" s="52"/>
    </row>
    <row r="8" spans="1:20" ht="12.75">
      <c r="A8" s="52">
        <v>0.75</v>
      </c>
      <c r="B8" s="52">
        <v>0.65</v>
      </c>
      <c r="C8" s="54">
        <v>8</v>
      </c>
      <c r="D8" s="53">
        <f t="shared" si="1"/>
        <v>1.2000000000000002</v>
      </c>
      <c r="E8" s="53">
        <f t="shared" si="9"/>
        <v>0.24000000000000005</v>
      </c>
      <c r="F8" s="55">
        <f t="shared" si="2"/>
        <v>28.7576</v>
      </c>
      <c r="G8" s="55">
        <f t="shared" si="3"/>
        <v>22.06672</v>
      </c>
      <c r="H8" s="56">
        <f t="shared" si="4"/>
        <v>0.14687999999999996</v>
      </c>
      <c r="I8" s="57">
        <f t="shared" si="5"/>
        <v>6.544</v>
      </c>
      <c r="J8" s="52">
        <v>0.25</v>
      </c>
      <c r="K8" s="58">
        <f t="shared" si="6"/>
        <v>6.794</v>
      </c>
      <c r="L8" s="53">
        <v>0.769</v>
      </c>
      <c r="M8" s="59">
        <f t="shared" si="0"/>
        <v>7.563</v>
      </c>
      <c r="N8" s="60">
        <f t="shared" si="7"/>
        <v>2.558399999999999</v>
      </c>
      <c r="O8" s="60"/>
      <c r="P8" s="53">
        <v>8.44</v>
      </c>
      <c r="Q8" s="55">
        <f t="shared" si="10"/>
        <v>8.123999999999999</v>
      </c>
      <c r="R8" s="55">
        <f t="shared" si="8"/>
        <v>2.6302079999999997</v>
      </c>
      <c r="S8" s="52"/>
      <c r="T8" s="42"/>
    </row>
    <row r="9" spans="1:19" ht="12">
      <c r="A9" s="52">
        <v>0.75</v>
      </c>
      <c r="B9" s="52">
        <v>0.65</v>
      </c>
      <c r="C9" s="54">
        <v>9</v>
      </c>
      <c r="D9" s="53">
        <f t="shared" si="1"/>
        <v>1.2999999999999998</v>
      </c>
      <c r="E9" s="53">
        <f t="shared" si="9"/>
        <v>0.25999999999999995</v>
      </c>
      <c r="F9" s="55">
        <f t="shared" si="2"/>
        <v>35.85935</v>
      </c>
      <c r="G9" s="55">
        <f t="shared" si="3"/>
        <v>27.86797</v>
      </c>
      <c r="H9" s="56">
        <f t="shared" si="4"/>
        <v>0.17238000000000003</v>
      </c>
      <c r="I9" s="57">
        <f t="shared" si="5"/>
        <v>7.818999999999999</v>
      </c>
      <c r="J9" s="52">
        <v>0.25</v>
      </c>
      <c r="K9" s="58">
        <f t="shared" si="6"/>
        <v>8.068999999999999</v>
      </c>
      <c r="L9" s="53">
        <v>0.769</v>
      </c>
      <c r="M9" s="59">
        <f t="shared" si="0"/>
        <v>8.838</v>
      </c>
      <c r="N9" s="60">
        <f t="shared" si="7"/>
        <v>2.721600000000001</v>
      </c>
      <c r="O9" s="60"/>
      <c r="P9" s="53">
        <v>9.02</v>
      </c>
      <c r="Q9" s="55">
        <f t="shared" si="10"/>
        <v>8.86554</v>
      </c>
      <c r="R9" s="55">
        <f t="shared" si="8"/>
        <v>2.7248640000000006</v>
      </c>
      <c r="S9" s="52"/>
    </row>
    <row r="10" spans="1:20" ht="12.75">
      <c r="A10" s="52">
        <v>0.75</v>
      </c>
      <c r="B10" s="52">
        <v>0.65</v>
      </c>
      <c r="C10" s="54">
        <v>10</v>
      </c>
      <c r="D10" s="53">
        <f t="shared" si="1"/>
        <v>1.4000000000000004</v>
      </c>
      <c r="E10" s="53">
        <f t="shared" si="9"/>
        <v>0.2800000000000001</v>
      </c>
      <c r="F10" s="55">
        <f t="shared" si="2"/>
        <v>43.7414</v>
      </c>
      <c r="G10" s="55">
        <f t="shared" si="3"/>
        <v>34.345479999999995</v>
      </c>
      <c r="H10" s="56">
        <f t="shared" si="4"/>
        <v>0.19992000000000004</v>
      </c>
      <c r="I10" s="57">
        <f t="shared" si="5"/>
        <v>9.196000000000003</v>
      </c>
      <c r="J10" s="52">
        <v>0.25</v>
      </c>
      <c r="K10" s="58">
        <f t="shared" si="6"/>
        <v>9.446000000000003</v>
      </c>
      <c r="L10" s="53">
        <v>0.769</v>
      </c>
      <c r="M10" s="59">
        <f t="shared" si="0"/>
        <v>10.215000000000003</v>
      </c>
      <c r="N10" s="60">
        <f t="shared" si="7"/>
        <v>2.8848000000000003</v>
      </c>
      <c r="O10" s="60"/>
      <c r="P10" s="52">
        <v>10.18</v>
      </c>
      <c r="Q10" s="55">
        <f t="shared" si="10"/>
        <v>10.481220000000004</v>
      </c>
      <c r="R10" s="55">
        <f t="shared" si="8"/>
        <v>2.9141760000000003</v>
      </c>
      <c r="S10" s="52"/>
      <c r="T10" s="42"/>
    </row>
    <row r="11" spans="1:19" ht="12">
      <c r="A11" s="52">
        <v>0.75</v>
      </c>
      <c r="B11" s="52">
        <v>0.65</v>
      </c>
      <c r="C11" s="52">
        <v>11</v>
      </c>
      <c r="D11" s="53">
        <f t="shared" si="1"/>
        <v>1.5</v>
      </c>
      <c r="E11" s="53">
        <f t="shared" si="9"/>
        <v>0.3</v>
      </c>
      <c r="F11" s="55">
        <f>(0.4+0.4+0.75*(C11+E11))*(C11+E11)/2</f>
        <v>52.40375000000002</v>
      </c>
      <c r="G11" s="55">
        <f>0.65*(C11+E11)^2/2</f>
        <v>41.49925</v>
      </c>
      <c r="H11" s="56">
        <f>(0.4+0.75*(C11+E11)-0.65*(C11+E11))*E11/2</f>
        <v>0.22950000000000015</v>
      </c>
      <c r="I11" s="57">
        <f>F11-G11-H11</f>
        <v>10.675000000000013</v>
      </c>
      <c r="J11" s="52">
        <v>0.25</v>
      </c>
      <c r="K11" s="58">
        <f>I11+J11</f>
        <v>10.925000000000013</v>
      </c>
      <c r="L11" s="53">
        <v>0.769</v>
      </c>
      <c r="M11" s="59">
        <f>K11+L11</f>
        <v>11.694000000000013</v>
      </c>
      <c r="N11" s="60">
        <f>((0.4+0.75*(C11+E11)-0.65*(C11+E11))*2+0.25+0.5)*1.6/2</f>
        <v>3.048000000000002</v>
      </c>
      <c r="O11" s="52"/>
      <c r="P11" s="52">
        <v>11.88</v>
      </c>
      <c r="Q11" s="55">
        <f t="shared" si="10"/>
        <v>13.762000000000015</v>
      </c>
      <c r="R11" s="55">
        <f t="shared" si="8"/>
        <v>3.1916160000000002</v>
      </c>
      <c r="S11" s="52"/>
    </row>
    <row r="12" spans="1:19" ht="12">
      <c r="A12" s="52">
        <v>0.75</v>
      </c>
      <c r="B12" s="52">
        <v>0.65</v>
      </c>
      <c r="C12" s="52">
        <v>12</v>
      </c>
      <c r="D12" s="53">
        <f>C12*0.75-(C12*0.65-0.4)</f>
        <v>1.5999999999999996</v>
      </c>
      <c r="E12" s="53">
        <f>D12/5</f>
        <v>0.31999999999999995</v>
      </c>
      <c r="F12" s="55">
        <f>(0.4+0.4+0.75*(C12+E12))*(C12+E12)/2</f>
        <v>61.84640000000001</v>
      </c>
      <c r="G12" s="55">
        <f>0.65*(C12+E12)^2/2</f>
        <v>49.32928</v>
      </c>
      <c r="H12" s="56">
        <f>(0.4+0.75*(C12+E12)-0.65*(C12+E12))*E12/2</f>
        <v>0.2611199999999999</v>
      </c>
      <c r="I12" s="57">
        <f>F12-G12-H12</f>
        <v>12.256000000000013</v>
      </c>
      <c r="J12" s="52">
        <v>0.25</v>
      </c>
      <c r="K12" s="58">
        <f>I12+J12</f>
        <v>12.506000000000013</v>
      </c>
      <c r="L12" s="53">
        <f>0.769*2</f>
        <v>1.538</v>
      </c>
      <c r="M12" s="59">
        <f>K12+L12</f>
        <v>14.044000000000013</v>
      </c>
      <c r="N12" s="60">
        <f>((0.4+0.75*(C12+E12)-0.65*(C12+E12))*2+0.25+0.5)*1.6/2</f>
        <v>3.2112</v>
      </c>
      <c r="O12" s="52"/>
      <c r="P12" s="52">
        <v>12.25</v>
      </c>
      <c r="Q12" s="55">
        <f>(M13-M12)/1*(P12-C12)+M12</f>
        <v>14.46475000000001</v>
      </c>
      <c r="R12" s="55">
        <f>(N13-N12)/1*(P12-C12)+N12</f>
        <v>3.252</v>
      </c>
      <c r="S12" s="52"/>
    </row>
    <row r="13" spans="1:19" ht="12">
      <c r="A13" s="52">
        <v>0.75</v>
      </c>
      <c r="B13" s="52">
        <v>0.65</v>
      </c>
      <c r="C13" s="52">
        <v>13</v>
      </c>
      <c r="D13" s="53">
        <f>C13*0.75-(C13*0.65-0.4)</f>
        <v>1.6999999999999993</v>
      </c>
      <c r="E13" s="53">
        <f>D13/5</f>
        <v>0.33999999999999986</v>
      </c>
      <c r="F13" s="55">
        <f>(0.4+0.4+0.75*(C13+E13))*(C13+E13)/2</f>
        <v>72.06935</v>
      </c>
      <c r="G13" s="55">
        <f>0.65*(C13+E13)^2/2</f>
        <v>57.835570000000004</v>
      </c>
      <c r="H13" s="56">
        <f>(0.4+0.75*(C13+E13)-0.65*(C13+E13))*E13/2</f>
        <v>0.2947799999999999</v>
      </c>
      <c r="I13" s="57">
        <f>F13-G13-H13</f>
        <v>13.938999999999997</v>
      </c>
      <c r="J13" s="52">
        <v>0.25</v>
      </c>
      <c r="K13" s="58">
        <f>I13+J13</f>
        <v>14.188999999999997</v>
      </c>
      <c r="L13" s="53">
        <f>0.769*2</f>
        <v>1.538</v>
      </c>
      <c r="M13" s="59">
        <f>K13+L13</f>
        <v>15.726999999999997</v>
      </c>
      <c r="N13" s="60">
        <f>((0.4+0.75*(C13+E13)-0.65*(C13+E13))*2+0.25+0.5)*1.6/2</f>
        <v>3.3744</v>
      </c>
      <c r="O13" s="52"/>
      <c r="P13" s="52"/>
      <c r="Q13" s="52"/>
      <c r="R13" s="52"/>
      <c r="S13" s="52"/>
    </row>
    <row r="14" spans="1:19" ht="1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</sheetData>
  <mergeCells count="1">
    <mergeCell ref="C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8.75390625" style="40" customWidth="1"/>
    <col min="2" max="2" width="12.125" style="40" bestFit="1" customWidth="1"/>
    <col min="3" max="16384" width="8.75390625" style="40" customWidth="1"/>
  </cols>
  <sheetData>
    <row r="1" spans="1:3" ht="15.75">
      <c r="A1" s="40" t="s">
        <v>48</v>
      </c>
      <c r="B1" s="83" t="s">
        <v>49</v>
      </c>
      <c r="C1" s="83"/>
    </row>
    <row r="2" spans="1:3" ht="14.25">
      <c r="A2" s="40">
        <v>3</v>
      </c>
      <c r="B2" s="40">
        <f>(5*A2+20)/54</f>
        <v>0.6481481481481481</v>
      </c>
      <c r="C2" s="40">
        <f>ROUND(B2*100,0)</f>
        <v>65</v>
      </c>
    </row>
    <row r="3" spans="1:3" ht="14.25">
      <c r="A3" s="40">
        <v>4</v>
      </c>
      <c r="B3" s="40">
        <f aca="true" t="shared" si="0" ref="B3:B12">(5*A3+20)/54</f>
        <v>0.7407407407407407</v>
      </c>
      <c r="C3" s="40">
        <f aca="true" t="shared" si="1" ref="C3:C12">ROUND(B3*100,0)</f>
        <v>74</v>
      </c>
    </row>
    <row r="4" spans="1:3" ht="14.25">
      <c r="A4" s="40">
        <v>5</v>
      </c>
      <c r="B4" s="40">
        <f t="shared" si="0"/>
        <v>0.8333333333333334</v>
      </c>
      <c r="C4" s="40">
        <f t="shared" si="1"/>
        <v>83</v>
      </c>
    </row>
    <row r="5" spans="1:3" ht="14.25">
      <c r="A5" s="40">
        <v>6</v>
      </c>
      <c r="B5" s="40">
        <f t="shared" si="0"/>
        <v>0.9259259259259259</v>
      </c>
      <c r="C5" s="40">
        <f t="shared" si="1"/>
        <v>93</v>
      </c>
    </row>
    <row r="6" spans="1:3" ht="14.25">
      <c r="A6" s="40">
        <v>7</v>
      </c>
      <c r="B6" s="40">
        <f t="shared" si="0"/>
        <v>1.0185185185185186</v>
      </c>
      <c r="C6" s="40">
        <f t="shared" si="1"/>
        <v>102</v>
      </c>
    </row>
    <row r="7" spans="1:3" ht="14.25">
      <c r="A7" s="40">
        <v>8</v>
      </c>
      <c r="B7" s="40">
        <f t="shared" si="0"/>
        <v>1.1111111111111112</v>
      </c>
      <c r="C7" s="40">
        <f t="shared" si="1"/>
        <v>111</v>
      </c>
    </row>
    <row r="8" spans="1:3" ht="14.25">
      <c r="A8" s="40">
        <v>9</v>
      </c>
      <c r="B8" s="40">
        <f t="shared" si="0"/>
        <v>1.2037037037037037</v>
      </c>
      <c r="C8" s="40">
        <f t="shared" si="1"/>
        <v>120</v>
      </c>
    </row>
    <row r="9" spans="1:3" ht="14.25">
      <c r="A9" s="40">
        <v>10</v>
      </c>
      <c r="B9" s="40">
        <f t="shared" si="0"/>
        <v>1.2962962962962963</v>
      </c>
      <c r="C9" s="40">
        <f t="shared" si="1"/>
        <v>130</v>
      </c>
    </row>
    <row r="10" spans="1:3" ht="14.25">
      <c r="A10" s="40">
        <v>11</v>
      </c>
      <c r="B10" s="40">
        <f t="shared" si="0"/>
        <v>1.3888888888888888</v>
      </c>
      <c r="C10" s="40">
        <f t="shared" si="1"/>
        <v>139</v>
      </c>
    </row>
    <row r="11" spans="1:3" ht="14.25">
      <c r="A11" s="40">
        <v>12</v>
      </c>
      <c r="B11" s="40">
        <f t="shared" si="0"/>
        <v>1.4814814814814814</v>
      </c>
      <c r="C11" s="40">
        <f t="shared" si="1"/>
        <v>148</v>
      </c>
    </row>
    <row r="12" spans="1:3" ht="14.25">
      <c r="A12" s="40">
        <v>13</v>
      </c>
      <c r="B12" s="40">
        <f t="shared" si="0"/>
        <v>1.5740740740740742</v>
      </c>
      <c r="C12" s="40">
        <f t="shared" si="1"/>
        <v>157</v>
      </c>
    </row>
    <row r="17" spans="1:3" ht="14.25">
      <c r="A17" s="40">
        <v>11</v>
      </c>
      <c r="B17" s="40">
        <v>0.5</v>
      </c>
      <c r="C17" s="40">
        <f>0.13+(2.5+B17)*0.1</f>
        <v>0.43000000000000005</v>
      </c>
    </row>
    <row r="18" spans="1:3" ht="14.25">
      <c r="A18" s="40">
        <v>12</v>
      </c>
      <c r="B18" s="40">
        <v>0.6</v>
      </c>
      <c r="C18" s="40">
        <f aca="true" t="shared" si="2" ref="C18:C24">0.13+(2.5+B18)*0.1</f>
        <v>0.44000000000000006</v>
      </c>
    </row>
    <row r="19" spans="1:3" ht="14.25">
      <c r="A19" s="40">
        <v>13</v>
      </c>
      <c r="B19" s="40">
        <v>0.7</v>
      </c>
      <c r="C19" s="40">
        <f t="shared" si="2"/>
        <v>0.45000000000000007</v>
      </c>
    </row>
    <row r="20" spans="1:3" ht="14.25">
      <c r="A20" s="40">
        <v>14</v>
      </c>
      <c r="B20" s="40">
        <v>0.8</v>
      </c>
      <c r="C20" s="40">
        <f t="shared" si="2"/>
        <v>0.46</v>
      </c>
    </row>
    <row r="21" spans="1:3" ht="14.25">
      <c r="A21" s="40">
        <v>15</v>
      </c>
      <c r="B21" s="40">
        <v>0.9</v>
      </c>
      <c r="C21" s="40">
        <f t="shared" si="2"/>
        <v>0.47000000000000003</v>
      </c>
    </row>
    <row r="22" spans="1:3" ht="14.25">
      <c r="A22" s="40">
        <v>16</v>
      </c>
      <c r="B22" s="40">
        <v>1</v>
      </c>
      <c r="C22" s="40">
        <f t="shared" si="2"/>
        <v>0.48000000000000004</v>
      </c>
    </row>
    <row r="23" spans="1:3" ht="14.25">
      <c r="A23" s="40">
        <v>17</v>
      </c>
      <c r="B23" s="40">
        <v>1.1</v>
      </c>
      <c r="C23" s="40">
        <f t="shared" si="2"/>
        <v>0.49000000000000005</v>
      </c>
    </row>
    <row r="24" spans="1:3" ht="14.25">
      <c r="A24" s="40">
        <v>18</v>
      </c>
      <c r="B24" s="40">
        <v>1.2</v>
      </c>
      <c r="C24" s="40">
        <f t="shared" si="2"/>
        <v>0.5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张德明</dc:creator>
  <cp:keywords/>
  <dc:description/>
  <cp:lastModifiedBy>YZR</cp:lastModifiedBy>
  <cp:lastPrinted>2002-01-05T13:08:17Z</cp:lastPrinted>
  <dcterms:created xsi:type="dcterms:W3CDTF">2001-04-23T11:09:37Z</dcterms:created>
  <dcterms:modified xsi:type="dcterms:W3CDTF">2002-01-14T09:20:41Z</dcterms:modified>
  <cp:category/>
  <cp:version/>
  <cp:contentType/>
  <cp:contentStatus/>
</cp:coreProperties>
</file>